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defaultThemeVersion="124226"/>
  <mc:AlternateContent xmlns:mc="http://schemas.openxmlformats.org/markup-compatibility/2006">
    <mc:Choice Requires="x15">
      <x15ac:absPath xmlns:x15ac="http://schemas.microsoft.com/office/spreadsheetml/2010/11/ac" url="\\pesrvfile03\UA_Administracao\MANUTENÇÃO\2018\Limpeza\"/>
    </mc:Choice>
  </mc:AlternateContent>
  <workbookProtection workbookAlgorithmName="SHA-512" workbookHashValue="0a4Isuegx6UBoKtEYfoj99g4mjfPqq3ZsIIURTud8TVF198TYQ/YCj/eCoywCYYyV4o3BPpYH1b2BnEkDpY+sQ==" workbookSaltValue="tVD6aNUfBB5bKPrRpCur/w==" workbookSpinCount="100000" lockStructure="1"/>
  <bookViews>
    <workbookView xWindow="0" yWindow="0" windowWidth="20730" windowHeight="11760" activeTab="2"/>
  </bookViews>
  <sheets>
    <sheet name="Resumo" sheetId="13" r:id="rId1"/>
    <sheet name="Encarregado" sheetId="6" r:id="rId2"/>
    <sheet name="ASG" sheetId="5" r:id="rId3"/>
    <sheet name="Copeira" sheetId="7" r:id="rId4"/>
    <sheet name="Consumo" sheetId="2" r:id="rId5"/>
    <sheet name="Utensílios" sheetId="3" r:id="rId6"/>
    <sheet name="Equipamentos" sheetId="4" r:id="rId7"/>
    <sheet name="Áreas" sheetId="1" state="hidden" r:id="rId8"/>
    <sheet name="Produtividade" sheetId="10" state="hidden" r:id="rId9"/>
    <sheet name="LS" sheetId="9" state="hidden" r:id="rId10"/>
    <sheet name="BDI" sheetId="8" state="hidden" r:id="rId11"/>
    <sheet name="Avaliação" sheetId="14" state="hidden" r:id="rId12"/>
    <sheet name="Metodologia de Avaliação" sheetId="16" state="hidden" r:id="rId13"/>
    <sheet name="Descontos" sheetId="17" state="hidden" r:id="rId14"/>
    <sheet name="Plan1" sheetId="18" state="hidden" r:id="rId15"/>
    <sheet name="Plan2" sheetId="19" state="hidden" r:id="rId16"/>
  </sheets>
  <definedNames>
    <definedName name="_xlnm.Print_Area" localSheetId="7">Áreas!$A$1:$J$29</definedName>
    <definedName name="_xlnm.Print_Area" localSheetId="2">ASG!$B$2:$K$113</definedName>
    <definedName name="_xlnm.Print_Area" localSheetId="11">Avaliação!$A$1:$H$34</definedName>
    <definedName name="_xlnm.Print_Area" localSheetId="4">Consumo!$A$2:$O$42</definedName>
    <definedName name="_xlnm.Print_Area" localSheetId="3">Copeira!$A$1:$J$111</definedName>
    <definedName name="_xlnm.Print_Area" localSheetId="1">Encarregado!$A$1:$J$113</definedName>
    <definedName name="_xlnm.Print_Area" localSheetId="12">'Metodologia de Avaliação'!$A$21:$D$87</definedName>
    <definedName name="_xlnm.Print_Area" localSheetId="8">Produtividade!$B$1:$H$56</definedName>
  </definedNames>
  <calcPr calcId="152511"/>
</workbook>
</file>

<file path=xl/calcChain.xml><?xml version="1.0" encoding="utf-8"?>
<calcChain xmlns="http://schemas.openxmlformats.org/spreadsheetml/2006/main">
  <c r="H98" i="7" l="1"/>
  <c r="G92" i="7"/>
  <c r="H98" i="6"/>
  <c r="G92" i="5"/>
  <c r="G92" i="6"/>
  <c r="F111" i="7" l="1"/>
  <c r="I89" i="7"/>
  <c r="H64" i="7" l="1"/>
  <c r="H66" i="7" s="1"/>
  <c r="H72" i="7" s="1"/>
  <c r="H56" i="7" l="1"/>
  <c r="H71" i="7" s="1"/>
  <c r="H48" i="7"/>
  <c r="H70" i="7" s="1"/>
  <c r="H44" i="7"/>
  <c r="H69" i="7" s="1"/>
  <c r="H40" i="7"/>
  <c r="H68" i="7" s="1"/>
  <c r="H31" i="7" l="1"/>
  <c r="H73" i="7"/>
  <c r="F111" i="5"/>
  <c r="I89" i="5"/>
  <c r="H64" i="5"/>
  <c r="H66" i="5" s="1"/>
  <c r="H72" i="5" s="1"/>
  <c r="H56" i="5"/>
  <c r="H71" i="5" s="1"/>
  <c r="H48" i="5"/>
  <c r="H70" i="5" s="1"/>
  <c r="H44" i="5"/>
  <c r="H69" i="5" s="1"/>
  <c r="H40" i="5"/>
  <c r="H31" i="5" s="1"/>
  <c r="H68" i="5" l="1"/>
  <c r="H73" i="5" l="1"/>
  <c r="L3" i="3"/>
  <c r="N7" i="4" l="1"/>
  <c r="Q20" i="7"/>
  <c r="Q19" i="7"/>
  <c r="Q18" i="7"/>
  <c r="R17" i="7"/>
  <c r="P17" i="7"/>
  <c r="Q17" i="7" s="1"/>
  <c r="Q20" i="5"/>
  <c r="Q19" i="5"/>
  <c r="Q18" i="5"/>
  <c r="R17" i="5"/>
  <c r="P17" i="5"/>
  <c r="Q17" i="5" s="1"/>
  <c r="Q20" i="6"/>
  <c r="Q19" i="6"/>
  <c r="Q18" i="6"/>
  <c r="N4" i="4"/>
  <c r="N3" i="4"/>
  <c r="O3" i="4" s="1"/>
  <c r="S17" i="5" l="1"/>
  <c r="S17" i="7"/>
  <c r="M5" i="2"/>
  <c r="M6" i="2"/>
  <c r="M9" i="2"/>
  <c r="M10" i="2"/>
  <c r="M11" i="2"/>
  <c r="M12" i="2"/>
  <c r="M13" i="2"/>
  <c r="M14" i="2"/>
  <c r="M15" i="2"/>
  <c r="M16" i="2"/>
  <c r="M17" i="2"/>
  <c r="M18" i="2"/>
  <c r="M21" i="2"/>
  <c r="M22" i="2"/>
  <c r="M23" i="2"/>
  <c r="M24" i="2"/>
  <c r="M25" i="2"/>
  <c r="M26" i="2"/>
  <c r="M27" i="2"/>
  <c r="M30" i="2"/>
  <c r="M31" i="2"/>
  <c r="M32" i="2"/>
  <c r="M33" i="2"/>
  <c r="M34" i="2"/>
  <c r="M36" i="2"/>
  <c r="M37" i="2"/>
  <c r="M38" i="2"/>
  <c r="M39" i="2"/>
  <c r="M40" i="2"/>
  <c r="M4" i="2"/>
  <c r="H64" i="6" l="1"/>
  <c r="H17" i="5" l="1"/>
  <c r="G17" i="6"/>
  <c r="G18" i="6" s="1"/>
  <c r="G19" i="6" s="1"/>
  <c r="G20" i="6" s="1"/>
  <c r="R17" i="6" l="1"/>
  <c r="I8" i="2" l="1"/>
  <c r="M8" i="2" s="1"/>
  <c r="I7" i="2"/>
  <c r="M7" i="2" s="1"/>
  <c r="H20" i="2" l="1"/>
  <c r="M20" i="2" s="1"/>
  <c r="G41" i="2" l="1"/>
  <c r="G35" i="2"/>
  <c r="G29" i="2"/>
  <c r="M29" i="2" s="1"/>
  <c r="G28" i="2"/>
  <c r="M28" i="2" s="1"/>
  <c r="G19" i="2"/>
  <c r="F41" i="2" l="1"/>
  <c r="M41" i="2" s="1"/>
  <c r="F19" i="2"/>
  <c r="M19" i="2" s="1"/>
  <c r="E35" i="2" l="1"/>
  <c r="M35" i="2" s="1"/>
  <c r="B4" i="17" l="1"/>
  <c r="C4" i="17" s="1"/>
  <c r="A5" i="17"/>
  <c r="B5" i="17" s="1"/>
  <c r="C5" i="17" s="1"/>
  <c r="D2" i="19"/>
  <c r="B3" i="19"/>
  <c r="B4" i="19" s="1"/>
  <c r="D92" i="16"/>
  <c r="D91" i="16"/>
  <c r="D90" i="16"/>
  <c r="D89" i="16"/>
  <c r="Y5" i="18"/>
  <c r="A6" i="17" l="1"/>
  <c r="A7" i="17" s="1"/>
  <c r="A8" i="17" s="1"/>
  <c r="C3" i="19"/>
  <c r="C4" i="19" s="1"/>
  <c r="B5" i="19"/>
  <c r="D4" i="19"/>
  <c r="D3" i="19"/>
  <c r="AB43" i="18"/>
  <c r="AC43" i="18"/>
  <c r="AD43" i="18"/>
  <c r="AE43" i="18"/>
  <c r="AF43" i="18"/>
  <c r="AA43" i="18"/>
  <c r="AB42" i="18"/>
  <c r="AC42" i="18"/>
  <c r="AD42" i="18"/>
  <c r="AE42" i="18"/>
  <c r="AF42" i="18"/>
  <c r="AG42" i="18"/>
  <c r="AH42" i="18"/>
  <c r="AI42" i="18"/>
  <c r="AJ42" i="18"/>
  <c r="AK42" i="18"/>
  <c r="AL42" i="18"/>
  <c r="AM42" i="18"/>
  <c r="AN42" i="18"/>
  <c r="AO42" i="18"/>
  <c r="AP42" i="18"/>
  <c r="AA42" i="18"/>
  <c r="AB41" i="18"/>
  <c r="AC41" i="18"/>
  <c r="AD41" i="18"/>
  <c r="AE41" i="18"/>
  <c r="AF41" i="18"/>
  <c r="AG41" i="18"/>
  <c r="AH41" i="18"/>
  <c r="AI41" i="18"/>
  <c r="AJ41" i="18"/>
  <c r="AA41" i="18"/>
  <c r="AB40" i="18"/>
  <c r="AC40" i="18"/>
  <c r="AD40" i="18"/>
  <c r="AE40" i="18"/>
  <c r="AF40" i="18"/>
  <c r="AG40" i="18"/>
  <c r="AH40" i="18"/>
  <c r="AI40" i="18"/>
  <c r="AJ40" i="18"/>
  <c r="AK40" i="18"/>
  <c r="AL40" i="18"/>
  <c r="AM40" i="18"/>
  <c r="AA40" i="18"/>
  <c r="I20" i="18"/>
  <c r="D29" i="18"/>
  <c r="D28" i="18"/>
  <c r="D27" i="18"/>
  <c r="D26" i="18"/>
  <c r="B6" i="17" l="1"/>
  <c r="C6" i="17" s="1"/>
  <c r="B7" i="17"/>
  <c r="C7" i="17" s="1"/>
  <c r="AD49" i="18"/>
  <c r="AD47" i="18"/>
  <c r="AD45" i="18"/>
  <c r="AC47" i="18"/>
  <c r="AC45" i="18"/>
  <c r="AB50" i="18"/>
  <c r="AB48" i="18"/>
  <c r="AB46" i="18"/>
  <c r="AD48" i="18"/>
  <c r="AC48" i="18"/>
  <c r="AB51" i="18"/>
  <c r="AB47" i="18"/>
  <c r="AD46" i="18"/>
  <c r="AC46" i="18"/>
  <c r="AB49" i="18"/>
  <c r="AB45" i="18"/>
  <c r="AA45" i="18"/>
  <c r="AK55" i="18"/>
  <c r="AJ55" i="18"/>
  <c r="AI55" i="18"/>
  <c r="AH55" i="18"/>
  <c r="AG55" i="18"/>
  <c r="AF55" i="18"/>
  <c r="AM55" i="18"/>
  <c r="AL55" i="18"/>
  <c r="AE55" i="18"/>
  <c r="AA55" i="18"/>
  <c r="AM53" i="18"/>
  <c r="AK53" i="18"/>
  <c r="AJ53" i="18"/>
  <c r="AI53" i="18"/>
  <c r="AH53" i="18"/>
  <c r="AG53" i="18"/>
  <c r="AL53" i="18"/>
  <c r="AF53" i="18"/>
  <c r="AE53" i="18"/>
  <c r="AA53" i="18"/>
  <c r="AK51" i="18"/>
  <c r="AJ51" i="18"/>
  <c r="AI51" i="18"/>
  <c r="AH51" i="18"/>
  <c r="AG51" i="18"/>
  <c r="AM51" i="18"/>
  <c r="AL51" i="18"/>
  <c r="AF51" i="18"/>
  <c r="AE51" i="18"/>
  <c r="AA51" i="18"/>
  <c r="AM49" i="18"/>
  <c r="AK49" i="18"/>
  <c r="AJ49" i="18"/>
  <c r="AI49" i="18"/>
  <c r="AH49" i="18"/>
  <c r="AG49" i="18"/>
  <c r="AL49" i="18"/>
  <c r="AF49" i="18"/>
  <c r="AE49" i="18"/>
  <c r="AA49" i="18"/>
  <c r="AM47" i="18"/>
  <c r="AK47" i="18"/>
  <c r="AJ47" i="18"/>
  <c r="AI47" i="18"/>
  <c r="AH47" i="18"/>
  <c r="AG47" i="18"/>
  <c r="AL47" i="18"/>
  <c r="AF47" i="18"/>
  <c r="AE47" i="18"/>
  <c r="AM45" i="18"/>
  <c r="AK45" i="18"/>
  <c r="AJ45" i="18"/>
  <c r="AI45" i="18"/>
  <c r="AA46" i="18"/>
  <c r="AH45" i="18"/>
  <c r="AG45" i="18"/>
  <c r="AL45" i="18"/>
  <c r="AF45" i="18"/>
  <c r="AE45" i="18"/>
  <c r="AB53" i="18"/>
  <c r="AC50" i="18"/>
  <c r="AC52" i="18"/>
  <c r="AC54" i="18"/>
  <c r="AC56" i="18"/>
  <c r="AC58" i="18"/>
  <c r="C5" i="19"/>
  <c r="D31" i="18"/>
  <c r="AM56" i="18"/>
  <c r="AL56" i="18"/>
  <c r="AE56" i="18"/>
  <c r="AA56" i="18"/>
  <c r="AK56" i="18"/>
  <c r="AJ56" i="18"/>
  <c r="AI56" i="18"/>
  <c r="AH56" i="18"/>
  <c r="AG56" i="18"/>
  <c r="AF56" i="18"/>
  <c r="AM54" i="18"/>
  <c r="AL54" i="18"/>
  <c r="AE54" i="18"/>
  <c r="AA54" i="18"/>
  <c r="AK54" i="18"/>
  <c r="AJ54" i="18"/>
  <c r="AI54" i="18"/>
  <c r="AH54" i="18"/>
  <c r="AG54" i="18"/>
  <c r="AF54" i="18"/>
  <c r="AM52" i="18"/>
  <c r="AL52" i="18"/>
  <c r="AF52" i="18"/>
  <c r="AE52" i="18"/>
  <c r="AA52" i="18"/>
  <c r="AK52" i="18"/>
  <c r="AJ52" i="18"/>
  <c r="AI52" i="18"/>
  <c r="AH52" i="18"/>
  <c r="AG52" i="18"/>
  <c r="AM50" i="18"/>
  <c r="AL50" i="18"/>
  <c r="AF50" i="18"/>
  <c r="AE50" i="18"/>
  <c r="AA50" i="18"/>
  <c r="AK50" i="18"/>
  <c r="AJ50" i="18"/>
  <c r="AI50" i="18"/>
  <c r="AH50" i="18"/>
  <c r="AG50" i="18"/>
  <c r="AL48" i="18"/>
  <c r="AF48" i="18"/>
  <c r="AE48" i="18"/>
  <c r="AA48" i="18"/>
  <c r="AM48" i="18"/>
  <c r="AK48" i="18"/>
  <c r="AJ48" i="18"/>
  <c r="AI48" i="18"/>
  <c r="AH48" i="18"/>
  <c r="AG48" i="18"/>
  <c r="AL46" i="18"/>
  <c r="AF46" i="18"/>
  <c r="AE46" i="18"/>
  <c r="AM46" i="18"/>
  <c r="AK46" i="18"/>
  <c r="AJ46" i="18"/>
  <c r="AI46" i="18"/>
  <c r="AA47" i="18"/>
  <c r="AH46" i="18"/>
  <c r="AG46" i="18"/>
  <c r="AB52" i="18"/>
  <c r="AC49" i="18"/>
  <c r="AC51" i="18"/>
  <c r="AC53" i="18"/>
  <c r="AC55" i="18"/>
  <c r="AC57" i="18"/>
  <c r="AC59" i="18"/>
  <c r="A9" i="17"/>
  <c r="B8" i="17"/>
  <c r="C8" i="17" s="1"/>
  <c r="B6" i="19"/>
  <c r="D5" i="19"/>
  <c r="C6" i="19" l="1"/>
  <c r="B9" i="17"/>
  <c r="C9" i="17" s="1"/>
  <c r="A10" i="17"/>
  <c r="B7" i="19"/>
  <c r="D6" i="19"/>
  <c r="E7" i="4"/>
  <c r="F7" i="4"/>
  <c r="G7" i="4"/>
  <c r="H7" i="4"/>
  <c r="I7" i="4"/>
  <c r="J7" i="4"/>
  <c r="K7" i="4"/>
  <c r="D7" i="4"/>
  <c r="D8" i="4"/>
  <c r="K8" i="4"/>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F29" i="1"/>
  <c r="C8" i="10" s="1"/>
  <c r="C7" i="19" l="1"/>
  <c r="A11" i="17"/>
  <c r="B10" i="17"/>
  <c r="C10" i="17" s="1"/>
  <c r="B8" i="19"/>
  <c r="C8" i="19" s="1"/>
  <c r="D7" i="19"/>
  <c r="N8" i="4"/>
  <c r="O8" i="4" s="1"/>
  <c r="O7" i="4"/>
  <c r="N6" i="4"/>
  <c r="O6" i="4" s="1"/>
  <c r="N5" i="4"/>
  <c r="O5" i="4" s="1"/>
  <c r="O4" i="4"/>
  <c r="B11" i="17" l="1"/>
  <c r="C11" i="17" s="1"/>
  <c r="A12" i="17"/>
  <c r="B9" i="19"/>
  <c r="C9" i="19" s="1"/>
  <c r="D8" i="19"/>
  <c r="B12" i="17" l="1"/>
  <c r="C12" i="17" s="1"/>
  <c r="A13" i="17"/>
  <c r="B10" i="19"/>
  <c r="D9" i="19"/>
  <c r="A14" i="17" l="1"/>
  <c r="B13" i="17"/>
  <c r="C13" i="17" s="1"/>
  <c r="B11" i="19"/>
  <c r="C10" i="19"/>
  <c r="D10" i="19"/>
  <c r="C33" i="10"/>
  <c r="C27" i="10"/>
  <c r="C26" i="10"/>
  <c r="C23" i="10"/>
  <c r="C22" i="10"/>
  <c r="G4" i="1" l="1"/>
  <c r="I4" i="1" s="1"/>
  <c r="G6" i="1"/>
  <c r="I6" i="1" s="1"/>
  <c r="G8" i="1"/>
  <c r="I8" i="1" s="1"/>
  <c r="G10" i="1"/>
  <c r="I10" i="1" s="1"/>
  <c r="G12" i="1"/>
  <c r="I12" i="1" s="1"/>
  <c r="G14" i="1"/>
  <c r="I14" i="1" s="1"/>
  <c r="G16" i="1"/>
  <c r="I16" i="1" s="1"/>
  <c r="G18" i="1"/>
  <c r="I18" i="1" s="1"/>
  <c r="G20" i="1"/>
  <c r="I20" i="1" s="1"/>
  <c r="G22" i="1"/>
  <c r="I22" i="1" s="1"/>
  <c r="G24" i="1"/>
  <c r="I24" i="1" s="1"/>
  <c r="G26" i="1"/>
  <c r="I26" i="1" s="1"/>
  <c r="G28" i="1"/>
  <c r="G5" i="1"/>
  <c r="I5" i="1" s="1"/>
  <c r="G7" i="1"/>
  <c r="I7" i="1" s="1"/>
  <c r="G9" i="1"/>
  <c r="I9" i="1" s="1"/>
  <c r="G11" i="1"/>
  <c r="I11" i="1" s="1"/>
  <c r="G13" i="1"/>
  <c r="I13" i="1" s="1"/>
  <c r="G15" i="1"/>
  <c r="I15" i="1" s="1"/>
  <c r="G17" i="1"/>
  <c r="I17" i="1" s="1"/>
  <c r="G19" i="1"/>
  <c r="I19" i="1" s="1"/>
  <c r="G21" i="1"/>
  <c r="G23" i="1"/>
  <c r="G25" i="1"/>
  <c r="G27" i="1"/>
  <c r="G3" i="1"/>
  <c r="I3" i="1" s="1"/>
  <c r="H4" i="1"/>
  <c r="J4" i="1" s="1"/>
  <c r="H6" i="1"/>
  <c r="H8" i="1"/>
  <c r="H10" i="1"/>
  <c r="H12" i="1"/>
  <c r="J12" i="1" s="1"/>
  <c r="H14" i="1"/>
  <c r="J14" i="1" s="1"/>
  <c r="H16" i="1"/>
  <c r="J16" i="1" s="1"/>
  <c r="H18" i="1"/>
  <c r="J18" i="1" s="1"/>
  <c r="H20" i="1"/>
  <c r="J20" i="1" s="1"/>
  <c r="H22" i="1"/>
  <c r="H24" i="1"/>
  <c r="J24" i="1" s="1"/>
  <c r="H26" i="1"/>
  <c r="H28" i="1"/>
  <c r="J28" i="1" s="1"/>
  <c r="H5" i="1"/>
  <c r="J5" i="1" s="1"/>
  <c r="H7" i="1"/>
  <c r="J7" i="1" s="1"/>
  <c r="H9" i="1"/>
  <c r="H11" i="1"/>
  <c r="J11" i="1" s="1"/>
  <c r="H13" i="1"/>
  <c r="J13" i="1" s="1"/>
  <c r="H15" i="1"/>
  <c r="J15" i="1" s="1"/>
  <c r="H17" i="1"/>
  <c r="J17" i="1" s="1"/>
  <c r="H19" i="1"/>
  <c r="J19" i="1" s="1"/>
  <c r="H21" i="1"/>
  <c r="J21" i="1" s="1"/>
  <c r="H23" i="1"/>
  <c r="J23" i="1" s="1"/>
  <c r="H25" i="1"/>
  <c r="J25" i="1" s="1"/>
  <c r="H27" i="1"/>
  <c r="J27" i="1" s="1"/>
  <c r="H3" i="1"/>
  <c r="C11" i="19"/>
  <c r="B12" i="19"/>
  <c r="B13" i="19" s="1"/>
  <c r="B14" i="19" s="1"/>
  <c r="A15" i="17"/>
  <c r="B14" i="17"/>
  <c r="C14" i="17" s="1"/>
  <c r="D11" i="19"/>
  <c r="C5" i="10"/>
  <c r="D27" i="1"/>
  <c r="E26" i="1"/>
  <c r="E22" i="1"/>
  <c r="D28" i="1"/>
  <c r="D6" i="10" l="1"/>
  <c r="J22" i="1"/>
  <c r="J26" i="1"/>
  <c r="C12" i="19"/>
  <c r="A16" i="17"/>
  <c r="B15" i="17"/>
  <c r="C15" i="17" s="1"/>
  <c r="I27" i="1"/>
  <c r="I28" i="1"/>
  <c r="D12" i="19"/>
  <c r="D5" i="10"/>
  <c r="E3" i="1"/>
  <c r="E10" i="1"/>
  <c r="J10" i="1" s="1"/>
  <c r="E9" i="1"/>
  <c r="J9" i="1" s="1"/>
  <c r="E8" i="1"/>
  <c r="J8" i="1" s="1"/>
  <c r="E6" i="1"/>
  <c r="J6" i="1" s="1"/>
  <c r="D29" i="1"/>
  <c r="O10" i="2"/>
  <c r="O9" i="2"/>
  <c r="O8" i="2"/>
  <c r="O7" i="2"/>
  <c r="O6" i="2"/>
  <c r="O5" i="2"/>
  <c r="O4" i="2"/>
  <c r="I29" i="1" l="1"/>
  <c r="C6" i="10"/>
  <c r="J3" i="1"/>
  <c r="A17" i="17"/>
  <c r="B16" i="17"/>
  <c r="C16" i="17" s="1"/>
  <c r="D13" i="19"/>
  <c r="C13" i="19"/>
  <c r="C14" i="19" s="1"/>
  <c r="E29" i="1"/>
  <c r="A18" i="17" l="1"/>
  <c r="B17" i="17"/>
  <c r="C17" i="17" s="1"/>
  <c r="J29" i="1"/>
  <c r="K21" i="1"/>
  <c r="B15" i="19"/>
  <c r="D14" i="19"/>
  <c r="E38" i="10"/>
  <c r="C38" i="10"/>
  <c r="E34" i="10"/>
  <c r="C34" i="10"/>
  <c r="E33" i="10"/>
  <c r="F9" i="10"/>
  <c r="F8" i="10"/>
  <c r="D47" i="10" s="1"/>
  <c r="F7" i="10"/>
  <c r="D46" i="10" s="1"/>
  <c r="F6" i="10"/>
  <c r="D45" i="10" s="1"/>
  <c r="F5" i="10"/>
  <c r="D44" i="10" s="1"/>
  <c r="N13" i="3"/>
  <c r="D36" i="9"/>
  <c r="C36" i="9"/>
  <c r="D33" i="9"/>
  <c r="C33" i="9"/>
  <c r="D27" i="9"/>
  <c r="C27" i="9"/>
  <c r="D16" i="9"/>
  <c r="C16" i="9"/>
  <c r="D14" i="8"/>
  <c r="D21" i="8" s="1"/>
  <c r="A19" i="17" l="1"/>
  <c r="B18" i="17"/>
  <c r="C18" i="17" s="1"/>
  <c r="B16" i="19"/>
  <c r="D15" i="19"/>
  <c r="C15" i="19"/>
  <c r="F34" i="10"/>
  <c r="F38" i="10"/>
  <c r="F33" i="10"/>
  <c r="C37" i="9"/>
  <c r="D37" i="9"/>
  <c r="J28" i="7"/>
  <c r="J79" i="7" s="1"/>
  <c r="H20" i="7"/>
  <c r="H19" i="7"/>
  <c r="H18" i="7"/>
  <c r="G17" i="7"/>
  <c r="G18" i="7" s="1"/>
  <c r="G19" i="7" s="1"/>
  <c r="G20" i="7" s="1"/>
  <c r="J7" i="7"/>
  <c r="J6" i="7"/>
  <c r="F111" i="6"/>
  <c r="I89" i="6"/>
  <c r="H66" i="6"/>
  <c r="H72" i="6" s="1"/>
  <c r="H56" i="6"/>
  <c r="H71" i="6" s="1"/>
  <c r="H48" i="6"/>
  <c r="H70" i="6" s="1"/>
  <c r="H44" i="6"/>
  <c r="H69" i="6" s="1"/>
  <c r="H40" i="6"/>
  <c r="H68" i="6" s="1"/>
  <c r="J28" i="6"/>
  <c r="J79" i="6" s="1"/>
  <c r="H104" i="6" s="1"/>
  <c r="H20" i="6"/>
  <c r="H19" i="6"/>
  <c r="H18" i="6"/>
  <c r="P17" i="6"/>
  <c r="Q17" i="6" s="1"/>
  <c r="S17" i="6" s="1"/>
  <c r="J7" i="6"/>
  <c r="J6" i="6"/>
  <c r="H20" i="5"/>
  <c r="H19" i="5"/>
  <c r="H18" i="5"/>
  <c r="G17" i="5"/>
  <c r="G18" i="5" s="1"/>
  <c r="G19" i="5" s="1"/>
  <c r="J7" i="5"/>
  <c r="J6" i="5"/>
  <c r="H104" i="7" l="1"/>
  <c r="C16" i="19"/>
  <c r="J17" i="5"/>
  <c r="A20" i="17"/>
  <c r="B19" i="17"/>
  <c r="C19" i="17" s="1"/>
  <c r="J8" i="5"/>
  <c r="J13" i="5" s="1"/>
  <c r="H31" i="6"/>
  <c r="J8" i="7"/>
  <c r="B17" i="19"/>
  <c r="D16" i="19"/>
  <c r="J8" i="6"/>
  <c r="J9" i="6" s="1"/>
  <c r="J18" i="6"/>
  <c r="H17" i="6"/>
  <c r="J17" i="6" s="1"/>
  <c r="J19" i="7"/>
  <c r="J18" i="7"/>
  <c r="J19" i="6"/>
  <c r="H73" i="6"/>
  <c r="J19" i="5"/>
  <c r="G20" i="5"/>
  <c r="J18" i="5"/>
  <c r="J61" i="5" l="1"/>
  <c r="J39" i="5"/>
  <c r="J35" i="5"/>
  <c r="J60" i="5"/>
  <c r="J38" i="5"/>
  <c r="J34" i="5"/>
  <c r="J63" i="5"/>
  <c r="J59" i="5"/>
  <c r="J42" i="5"/>
  <c r="J37" i="5"/>
  <c r="J33" i="5"/>
  <c r="J36" i="5"/>
  <c r="J32" i="5"/>
  <c r="J62" i="5"/>
  <c r="J13" i="7"/>
  <c r="J9" i="7"/>
  <c r="H17" i="7"/>
  <c r="J17" i="7" s="1"/>
  <c r="J9" i="5"/>
  <c r="J13" i="6"/>
  <c r="J59" i="6" s="1"/>
  <c r="A21" i="17"/>
  <c r="B20" i="17"/>
  <c r="C20" i="17" s="1"/>
  <c r="B18" i="19"/>
  <c r="D17" i="19"/>
  <c r="C17" i="19"/>
  <c r="J20" i="5"/>
  <c r="J20" i="7"/>
  <c r="J20" i="6"/>
  <c r="J63" i="6"/>
  <c r="J14" i="5"/>
  <c r="J40" i="5" l="1"/>
  <c r="J62" i="7"/>
  <c r="J60" i="7"/>
  <c r="J63" i="7"/>
  <c r="J61" i="7"/>
  <c r="J59" i="7"/>
  <c r="J38" i="7"/>
  <c r="J34" i="7"/>
  <c r="J36" i="7"/>
  <c r="J32" i="7"/>
  <c r="J39" i="7"/>
  <c r="J35" i="7"/>
  <c r="J42" i="7"/>
  <c r="J37" i="7"/>
  <c r="J33" i="7"/>
  <c r="J77" i="5"/>
  <c r="H102" i="5" s="1"/>
  <c r="J53" i="5"/>
  <c r="J47" i="5"/>
  <c r="J43" i="5"/>
  <c r="J50" i="5"/>
  <c r="J51" i="5" s="1"/>
  <c r="J46" i="5"/>
  <c r="J48" i="5" s="1"/>
  <c r="J69" i="5"/>
  <c r="J70" i="5"/>
  <c r="J68" i="5"/>
  <c r="J44" i="5"/>
  <c r="J64" i="5"/>
  <c r="J65" i="5" s="1"/>
  <c r="J66" i="5" s="1"/>
  <c r="J72" i="5" s="1"/>
  <c r="C18" i="19"/>
  <c r="J14" i="7"/>
  <c r="J33" i="6"/>
  <c r="J32" i="6"/>
  <c r="J34" i="6"/>
  <c r="J60" i="6"/>
  <c r="J61" i="6"/>
  <c r="J62" i="6"/>
  <c r="J42" i="6"/>
  <c r="J39" i="6"/>
  <c r="J14" i="6"/>
  <c r="J36" i="6"/>
  <c r="J37" i="6"/>
  <c r="J35" i="6"/>
  <c r="J38" i="6"/>
  <c r="J21" i="6"/>
  <c r="J21" i="7"/>
  <c r="J78" i="7" s="1"/>
  <c r="H103" i="7" s="1"/>
  <c r="A22" i="17"/>
  <c r="B21" i="17"/>
  <c r="C21" i="17" s="1"/>
  <c r="B19" i="19"/>
  <c r="D18" i="19"/>
  <c r="J21" i="5"/>
  <c r="J78" i="5" s="1"/>
  <c r="H103" i="5" s="1"/>
  <c r="H103" i="6" l="1"/>
  <c r="J78" i="6"/>
  <c r="J70" i="6"/>
  <c r="J77" i="6"/>
  <c r="J77" i="7"/>
  <c r="J43" i="7"/>
  <c r="J50" i="7"/>
  <c r="J51" i="7" s="1"/>
  <c r="J53" i="7"/>
  <c r="J47" i="7"/>
  <c r="J46" i="7"/>
  <c r="J48" i="7" s="1"/>
  <c r="J69" i="7"/>
  <c r="J68" i="7"/>
  <c r="J70" i="7"/>
  <c r="J44" i="7"/>
  <c r="J40" i="7"/>
  <c r="J64" i="7"/>
  <c r="J55" i="5"/>
  <c r="J52" i="5"/>
  <c r="J54" i="5"/>
  <c r="J50" i="6"/>
  <c r="J51" i="6" s="1"/>
  <c r="J47" i="6"/>
  <c r="J43" i="6"/>
  <c r="J44" i="6" s="1"/>
  <c r="J40" i="6"/>
  <c r="H102" i="6"/>
  <c r="J64" i="6"/>
  <c r="J65" i="6" s="1"/>
  <c r="J66" i="6" s="1"/>
  <c r="J72" i="6" s="1"/>
  <c r="J46" i="6"/>
  <c r="J69" i="6"/>
  <c r="J68" i="6"/>
  <c r="J53" i="6"/>
  <c r="J54" i="6" s="1"/>
  <c r="A23" i="17"/>
  <c r="B22" i="17"/>
  <c r="C22" i="17" s="1"/>
  <c r="B20" i="19"/>
  <c r="D19" i="19"/>
  <c r="C19" i="19"/>
  <c r="J56" i="5" l="1"/>
  <c r="J71" i="5" s="1"/>
  <c r="J73" i="5" s="1"/>
  <c r="J80" i="5" s="1"/>
  <c r="H105" i="5" s="1"/>
  <c r="J65" i="7"/>
  <c r="J66" i="7" s="1"/>
  <c r="J72" i="7" s="1"/>
  <c r="J73" i="7" s="1"/>
  <c r="J80" i="7" s="1"/>
  <c r="J55" i="7"/>
  <c r="J54" i="7"/>
  <c r="J56" i="7" s="1"/>
  <c r="J71" i="7" s="1"/>
  <c r="J52" i="7"/>
  <c r="H102" i="7"/>
  <c r="C20" i="19"/>
  <c r="J55" i="6"/>
  <c r="J52" i="6"/>
  <c r="J48" i="6"/>
  <c r="A24" i="17"/>
  <c r="B23" i="17"/>
  <c r="C23" i="17" s="1"/>
  <c r="B21" i="19"/>
  <c r="D20" i="19"/>
  <c r="H105" i="7" l="1"/>
  <c r="J81" i="7"/>
  <c r="H84" i="7" s="1"/>
  <c r="H86" i="7" s="1"/>
  <c r="J88" i="7" s="1"/>
  <c r="J91" i="7" s="1"/>
  <c r="J56" i="6"/>
  <c r="J71" i="6" s="1"/>
  <c r="J73" i="6" s="1"/>
  <c r="J80" i="6" s="1"/>
  <c r="H105" i="6" s="1"/>
  <c r="A25" i="17"/>
  <c r="B24" i="17"/>
  <c r="C24" i="17" s="1"/>
  <c r="B22" i="19"/>
  <c r="D21" i="19"/>
  <c r="C21" i="19"/>
  <c r="C22" i="19" s="1"/>
  <c r="H97" i="7" l="1"/>
  <c r="H95" i="7"/>
  <c r="H94" i="7"/>
  <c r="H92" i="7"/>
  <c r="J81" i="6"/>
  <c r="H84" i="6" s="1"/>
  <c r="H86" i="6" s="1"/>
  <c r="J88" i="6" s="1"/>
  <c r="J91" i="6" s="1"/>
  <c r="A26" i="17"/>
  <c r="B25" i="17"/>
  <c r="C25" i="17" s="1"/>
  <c r="B23" i="19"/>
  <c r="D22" i="19"/>
  <c r="H106" i="7" l="1"/>
  <c r="H107" i="7" s="1"/>
  <c r="G111" i="7" s="1"/>
  <c r="H111" i="7" s="1"/>
  <c r="H112" i="7" s="1"/>
  <c r="H97" i="6"/>
  <c r="H95" i="6"/>
  <c r="A27" i="17"/>
  <c r="B26" i="17"/>
  <c r="C26" i="17" s="1"/>
  <c r="B24" i="19"/>
  <c r="D23" i="19"/>
  <c r="C23" i="19"/>
  <c r="H92" i="6"/>
  <c r="H94" i="6"/>
  <c r="E6" i="13" l="1"/>
  <c r="F6" i="13" s="1"/>
  <c r="H113" i="7"/>
  <c r="C24" i="19"/>
  <c r="A28" i="17"/>
  <c r="B27" i="17"/>
  <c r="C27" i="17" s="1"/>
  <c r="B25" i="19"/>
  <c r="D24" i="19"/>
  <c r="E7" i="13" l="1"/>
  <c r="F7" i="13" s="1"/>
  <c r="H106" i="6"/>
  <c r="H107" i="6" s="1"/>
  <c r="G111" i="6" s="1"/>
  <c r="H111" i="6" s="1"/>
  <c r="A29" i="17"/>
  <c r="B28" i="17"/>
  <c r="C28" i="17" s="1"/>
  <c r="B26" i="19"/>
  <c r="D25" i="19"/>
  <c r="C25" i="19"/>
  <c r="C26" i="19" s="1"/>
  <c r="L14" i="3"/>
  <c r="O14" i="3" s="1"/>
  <c r="L9" i="3"/>
  <c r="O9" i="3" s="1"/>
  <c r="L4" i="4"/>
  <c r="P4" i="4" s="1"/>
  <c r="L5" i="4"/>
  <c r="P5" i="4" s="1"/>
  <c r="L6" i="4"/>
  <c r="P6" i="4" s="1"/>
  <c r="L7" i="4"/>
  <c r="P7" i="4" s="1"/>
  <c r="L8" i="4"/>
  <c r="P8" i="4" s="1"/>
  <c r="L3" i="4"/>
  <c r="P3" i="4" s="1"/>
  <c r="L16" i="3"/>
  <c r="O16" i="3" s="1"/>
  <c r="L15" i="3"/>
  <c r="O15" i="3" s="1"/>
  <c r="L17" i="3"/>
  <c r="O17" i="3" s="1"/>
  <c r="C17" i="10" l="1"/>
  <c r="G38" i="10" s="1"/>
  <c r="H112" i="6"/>
  <c r="A30" i="17"/>
  <c r="B29" i="17"/>
  <c r="C29" i="17" s="1"/>
  <c r="B27" i="19"/>
  <c r="D26" i="19"/>
  <c r="P9" i="4"/>
  <c r="J26" i="5" s="1"/>
  <c r="L22" i="3"/>
  <c r="O22" i="3" s="1"/>
  <c r="L4" i="3"/>
  <c r="O4" i="3" s="1"/>
  <c r="L5" i="3"/>
  <c r="O5" i="3" s="1"/>
  <c r="L6" i="3"/>
  <c r="O6" i="3" s="1"/>
  <c r="L7" i="3"/>
  <c r="O7" i="3" s="1"/>
  <c r="L8" i="3"/>
  <c r="O8" i="3" s="1"/>
  <c r="L10" i="3"/>
  <c r="O10" i="3" s="1"/>
  <c r="L11" i="3"/>
  <c r="O11" i="3" s="1"/>
  <c r="L12" i="3"/>
  <c r="O12" i="3" s="1"/>
  <c r="L13" i="3"/>
  <c r="O13" i="3" s="1"/>
  <c r="L18" i="3"/>
  <c r="O18" i="3" s="1"/>
  <c r="L19" i="3"/>
  <c r="O19" i="3" s="1"/>
  <c r="L20" i="3"/>
  <c r="O20" i="3" s="1"/>
  <c r="L21" i="3"/>
  <c r="O21" i="3" s="1"/>
  <c r="O3" i="3"/>
  <c r="H113" i="6" l="1"/>
  <c r="E3" i="13"/>
  <c r="F3" i="13" s="1"/>
  <c r="D23" i="10"/>
  <c r="E23" i="10" s="1"/>
  <c r="D27" i="10"/>
  <c r="E27" i="10" s="1"/>
  <c r="A31" i="17"/>
  <c r="B30" i="17"/>
  <c r="C30" i="17" s="1"/>
  <c r="B28" i="19"/>
  <c r="D27" i="19"/>
  <c r="C27" i="19"/>
  <c r="C28" i="19" s="1"/>
  <c r="O23" i="3"/>
  <c r="J25" i="5" s="1"/>
  <c r="O11" i="2"/>
  <c r="O12" i="2"/>
  <c r="O13" i="2"/>
  <c r="H38" i="10"/>
  <c r="H39" i="10" s="1"/>
  <c r="J28" i="5" l="1"/>
  <c r="J79" i="5" s="1"/>
  <c r="A32" i="17"/>
  <c r="B31" i="17"/>
  <c r="C31" i="17" s="1"/>
  <c r="B29" i="19"/>
  <c r="D28" i="19"/>
  <c r="O42" i="2"/>
  <c r="E13" i="13" s="1"/>
  <c r="F13" i="13" s="1"/>
  <c r="F14" i="13" s="1"/>
  <c r="F15" i="13" s="1"/>
  <c r="C47" i="10"/>
  <c r="E47" i="10" s="1"/>
  <c r="G34" i="10"/>
  <c r="H34" i="10" s="1"/>
  <c r="H104" i="5" l="1"/>
  <c r="J81" i="5"/>
  <c r="A33" i="17"/>
  <c r="B32" i="17"/>
  <c r="C32" i="17" s="1"/>
  <c r="B30" i="19"/>
  <c r="D29" i="19"/>
  <c r="C29" i="19"/>
  <c r="H84" i="5" l="1"/>
  <c r="H86" i="5" s="1"/>
  <c r="C30" i="19"/>
  <c r="A34" i="17"/>
  <c r="B33" i="17"/>
  <c r="C33" i="17" s="1"/>
  <c r="B31" i="19"/>
  <c r="D30" i="19"/>
  <c r="J88" i="5" l="1"/>
  <c r="J91" i="5" s="1"/>
  <c r="A35" i="17"/>
  <c r="B34" i="17"/>
  <c r="C34" i="17" s="1"/>
  <c r="B32" i="19"/>
  <c r="D31" i="19"/>
  <c r="C31" i="19"/>
  <c r="H92" i="5" l="1"/>
  <c r="H94" i="5"/>
  <c r="H98" i="5" s="1"/>
  <c r="H95" i="5"/>
  <c r="H97" i="5"/>
  <c r="C32" i="19"/>
  <c r="A36" i="17"/>
  <c r="B35" i="17"/>
  <c r="C35" i="17" s="1"/>
  <c r="D32" i="19"/>
  <c r="B33" i="19"/>
  <c r="C33" i="19" s="1"/>
  <c r="H106" i="5" l="1"/>
  <c r="H107" i="5" s="1"/>
  <c r="G111" i="5" s="1"/>
  <c r="H111" i="5" s="1"/>
  <c r="H112" i="5" s="1"/>
  <c r="C15" i="10"/>
  <c r="D22" i="10" s="1"/>
  <c r="E22" i="10" s="1"/>
  <c r="E24" i="10" s="1"/>
  <c r="C44" i="10" s="1"/>
  <c r="E44" i="10" s="1"/>
  <c r="A37" i="17"/>
  <c r="B36" i="17"/>
  <c r="C36" i="17" s="1"/>
  <c r="B34" i="19"/>
  <c r="D33" i="19"/>
  <c r="H113" i="5" l="1"/>
  <c r="E4" i="13"/>
  <c r="D26" i="10"/>
  <c r="E26" i="10" s="1"/>
  <c r="E28" i="10" s="1"/>
  <c r="C45" i="10" s="1"/>
  <c r="E45" i="10" s="1"/>
  <c r="A38" i="17"/>
  <c r="B37" i="17"/>
  <c r="C37" i="17" s="1"/>
  <c r="B35" i="19"/>
  <c r="D34" i="19"/>
  <c r="C34" i="19"/>
  <c r="G33" i="10" l="1"/>
  <c r="H33" i="10" s="1"/>
  <c r="H35" i="10" s="1"/>
  <c r="C46" i="10" s="1"/>
  <c r="E46" i="10" s="1"/>
  <c r="E48" i="10" s="1"/>
  <c r="E49" i="10" s="1"/>
  <c r="C35" i="19"/>
  <c r="A39" i="17"/>
  <c r="B38" i="17"/>
  <c r="C38" i="17" s="1"/>
  <c r="B36" i="19"/>
  <c r="D35" i="19"/>
  <c r="F4" i="13" l="1"/>
  <c r="E5" i="13"/>
  <c r="F5" i="13" s="1"/>
  <c r="B39" i="17"/>
  <c r="C39" i="17" s="1"/>
  <c r="E3" i="17"/>
  <c r="B37" i="19"/>
  <c r="D36" i="19"/>
  <c r="C36" i="19"/>
  <c r="F8" i="13" l="1"/>
  <c r="F9" i="13" s="1"/>
  <c r="E4" i="17"/>
  <c r="F3" i="17"/>
  <c r="G3" i="17" s="1"/>
  <c r="B38" i="19"/>
  <c r="D37" i="19"/>
  <c r="C37" i="19"/>
  <c r="C38" i="19" l="1"/>
  <c r="F4" i="17"/>
  <c r="G4" i="17" s="1"/>
  <c r="E5" i="17"/>
  <c r="B39" i="19"/>
  <c r="D38" i="19"/>
  <c r="E6" i="17" l="1"/>
  <c r="F5" i="17"/>
  <c r="G5" i="17" s="1"/>
  <c r="B40" i="19"/>
  <c r="D39" i="19"/>
  <c r="C39" i="19"/>
  <c r="C40" i="19" l="1"/>
  <c r="E7" i="17"/>
  <c r="F6" i="17"/>
  <c r="G6" i="17" s="1"/>
  <c r="B41" i="19"/>
  <c r="D40" i="19"/>
  <c r="E8" i="17" l="1"/>
  <c r="F7" i="17"/>
  <c r="G7" i="17" s="1"/>
  <c r="B42" i="19"/>
  <c r="D41" i="19"/>
  <c r="C41" i="19"/>
  <c r="C42" i="19" l="1"/>
  <c r="E9" i="17"/>
  <c r="F8" i="17"/>
  <c r="G8" i="17" s="1"/>
  <c r="B43" i="19"/>
  <c r="D42" i="19"/>
  <c r="E10" i="17" l="1"/>
  <c r="F9" i="17"/>
  <c r="G9" i="17" s="1"/>
  <c r="B44" i="19"/>
  <c r="D43" i="19"/>
  <c r="C43" i="19"/>
  <c r="C44" i="19" l="1"/>
  <c r="E11" i="17"/>
  <c r="F10" i="17"/>
  <c r="G10" i="17" s="1"/>
  <c r="B45" i="19"/>
  <c r="D44" i="19"/>
  <c r="E12" i="17" l="1"/>
  <c r="F11" i="17"/>
  <c r="G11" i="17" s="1"/>
  <c r="B46" i="19"/>
  <c r="D45" i="19"/>
  <c r="C45" i="19"/>
  <c r="C46" i="19" l="1"/>
  <c r="E13" i="17"/>
  <c r="F12" i="17"/>
  <c r="G12" i="17" s="1"/>
  <c r="B47" i="19"/>
  <c r="D46" i="19"/>
  <c r="E14" i="17" l="1"/>
  <c r="F13" i="17"/>
  <c r="G13" i="17" s="1"/>
  <c r="B48" i="19"/>
  <c r="D47" i="19"/>
  <c r="C47" i="19"/>
  <c r="C48" i="19" l="1"/>
  <c r="E15" i="17"/>
  <c r="F14" i="17"/>
  <c r="G14" i="17" s="1"/>
  <c r="B49" i="19"/>
  <c r="D48" i="19"/>
  <c r="E16" i="17" l="1"/>
  <c r="F15" i="17"/>
  <c r="G15" i="17" s="1"/>
  <c r="B50" i="19"/>
  <c r="D49" i="19"/>
  <c r="C49" i="19"/>
  <c r="C50" i="19" l="1"/>
  <c r="E17" i="17"/>
  <c r="F16" i="17"/>
  <c r="G16" i="17" s="1"/>
  <c r="B51" i="19"/>
  <c r="D50" i="19"/>
  <c r="E18" i="17" l="1"/>
  <c r="F17" i="17"/>
  <c r="G17" i="17" s="1"/>
  <c r="B52" i="19"/>
  <c r="D51" i="19"/>
  <c r="C51" i="19"/>
  <c r="C52" i="19" l="1"/>
  <c r="E19" i="17"/>
  <c r="F18" i="17"/>
  <c r="G18" i="17" s="1"/>
  <c r="B53" i="19"/>
  <c r="D52" i="19"/>
  <c r="E20" i="17" l="1"/>
  <c r="F19" i="17"/>
  <c r="G19" i="17" s="1"/>
  <c r="D53" i="19"/>
  <c r="B54" i="19"/>
  <c r="C53" i="19"/>
  <c r="C54" i="19" l="1"/>
  <c r="E21" i="17"/>
  <c r="F20" i="17"/>
  <c r="G20" i="17" s="1"/>
  <c r="B55" i="19"/>
  <c r="D54" i="19"/>
  <c r="E22" i="17" l="1"/>
  <c r="F21" i="17"/>
  <c r="G21" i="17" s="1"/>
  <c r="B56" i="19"/>
  <c r="D55" i="19"/>
  <c r="C55" i="19"/>
  <c r="E23" i="17" l="1"/>
  <c r="F22" i="17"/>
  <c r="G22" i="17" s="1"/>
  <c r="B57" i="19"/>
  <c r="D56" i="19"/>
  <c r="C56" i="19"/>
  <c r="C57" i="19" l="1"/>
  <c r="E24" i="17"/>
  <c r="F23" i="17"/>
  <c r="G23" i="17" s="1"/>
  <c r="B58" i="19"/>
  <c r="D57" i="19"/>
  <c r="E25" i="17" l="1"/>
  <c r="F24" i="17"/>
  <c r="G24" i="17" s="1"/>
  <c r="B59" i="19"/>
  <c r="D58" i="19"/>
  <c r="C58" i="19"/>
  <c r="C59" i="19" l="1"/>
  <c r="E26" i="17"/>
  <c r="F25" i="17"/>
  <c r="G25" i="17" s="1"/>
  <c r="B60" i="19"/>
  <c r="D59" i="19"/>
  <c r="E27" i="17" l="1"/>
  <c r="F26" i="17"/>
  <c r="G26" i="17" s="1"/>
  <c r="B61" i="19"/>
  <c r="D60" i="19"/>
  <c r="C60" i="19"/>
  <c r="C61" i="19" l="1"/>
  <c r="E28" i="17"/>
  <c r="F27" i="17"/>
  <c r="G27" i="17" s="1"/>
  <c r="B62" i="19"/>
  <c r="D61" i="19"/>
  <c r="E29" i="17" l="1"/>
  <c r="F28" i="17"/>
  <c r="G28" i="17" s="1"/>
  <c r="B63" i="19"/>
  <c r="D62" i="19"/>
  <c r="C62" i="19"/>
  <c r="C63" i="19" l="1"/>
  <c r="E30" i="17"/>
  <c r="F29" i="17"/>
  <c r="G29" i="17" s="1"/>
  <c r="B64" i="19"/>
  <c r="D63" i="19"/>
  <c r="E31" i="17" l="1"/>
  <c r="F30" i="17"/>
  <c r="G30" i="17" s="1"/>
  <c r="B65" i="19"/>
  <c r="D64" i="19"/>
  <c r="C64" i="19"/>
  <c r="C65" i="19" l="1"/>
  <c r="E32" i="17"/>
  <c r="F31" i="17"/>
  <c r="G31" i="17" s="1"/>
  <c r="B66" i="19"/>
  <c r="D65" i="19"/>
  <c r="E33" i="17" l="1"/>
  <c r="F32" i="17"/>
  <c r="G32" i="17" s="1"/>
  <c r="B67" i="19"/>
  <c r="D66" i="19"/>
  <c r="C66" i="19"/>
  <c r="E34" i="17" l="1"/>
  <c r="F33" i="17"/>
  <c r="G33" i="17" s="1"/>
  <c r="B68" i="19"/>
  <c r="D67" i="19"/>
  <c r="C67" i="19"/>
  <c r="C68" i="19" s="1"/>
  <c r="E35" i="17" l="1"/>
  <c r="F34" i="17"/>
  <c r="G34" i="17" s="1"/>
  <c r="B69" i="19"/>
  <c r="D68" i="19"/>
  <c r="E36" i="17" l="1"/>
  <c r="F35" i="17"/>
  <c r="G35" i="17" s="1"/>
  <c r="B70" i="19"/>
  <c r="D69" i="19"/>
  <c r="C69" i="19"/>
  <c r="C70" i="19" l="1"/>
  <c r="E37" i="17"/>
  <c r="F36" i="17"/>
  <c r="G36" i="17" s="1"/>
  <c r="B71" i="19"/>
  <c r="D70" i="19"/>
  <c r="E38" i="17" l="1"/>
  <c r="F38" i="17" s="1"/>
  <c r="G38" i="17" s="1"/>
  <c r="F37" i="17"/>
  <c r="G37" i="17" s="1"/>
  <c r="B72" i="19"/>
  <c r="D71" i="19"/>
  <c r="C71" i="19"/>
  <c r="C72" i="19" l="1"/>
  <c r="B73" i="19"/>
  <c r="D72" i="19"/>
  <c r="B74" i="19" l="1"/>
  <c r="D73" i="19"/>
  <c r="C73" i="19"/>
  <c r="C74" i="19" s="1"/>
  <c r="B75" i="19" l="1"/>
  <c r="D74" i="19"/>
  <c r="B76" i="19" l="1"/>
  <c r="D75" i="19"/>
  <c r="C75" i="19"/>
  <c r="C76" i="19" l="1"/>
  <c r="B77" i="19"/>
  <c r="D76" i="19"/>
  <c r="B78" i="19" l="1"/>
  <c r="D77" i="19"/>
  <c r="C77" i="19"/>
  <c r="C78" i="19" l="1"/>
  <c r="B79" i="19"/>
  <c r="D78" i="19"/>
  <c r="B80" i="19" l="1"/>
  <c r="D79" i="19"/>
  <c r="C79" i="19"/>
  <c r="C80" i="19" s="1"/>
  <c r="B81" i="19" l="1"/>
  <c r="D80" i="19"/>
  <c r="B82" i="19" l="1"/>
  <c r="D81" i="19"/>
  <c r="C81" i="19"/>
  <c r="C82" i="19" s="1"/>
  <c r="B83" i="19" l="1"/>
  <c r="D82" i="19"/>
  <c r="B84" i="19" l="1"/>
  <c r="D83" i="19"/>
  <c r="C83" i="19"/>
  <c r="C84" i="19" s="1"/>
  <c r="B85" i="19" l="1"/>
  <c r="D84" i="19"/>
  <c r="B86" i="19" l="1"/>
  <c r="D85" i="19"/>
  <c r="C85" i="19"/>
  <c r="C86" i="19" s="1"/>
  <c r="B87" i="19" l="1"/>
  <c r="D86" i="19"/>
  <c r="B88" i="19" l="1"/>
  <c r="D87" i="19"/>
  <c r="C87" i="19"/>
  <c r="C88" i="19" s="1"/>
  <c r="B89" i="19" l="1"/>
  <c r="D88" i="19"/>
  <c r="B90" i="19" l="1"/>
  <c r="D89" i="19"/>
  <c r="C89" i="19"/>
  <c r="B91" i="19" l="1"/>
  <c r="D90" i="19"/>
  <c r="C90" i="19"/>
  <c r="C91" i="19" l="1"/>
  <c r="B92" i="19"/>
  <c r="D91" i="19"/>
  <c r="B93" i="19" l="1"/>
  <c r="D92" i="19"/>
  <c r="C92" i="19"/>
  <c r="C93" i="19" l="1"/>
  <c r="B94" i="19"/>
  <c r="D93" i="19"/>
  <c r="B95" i="19" l="1"/>
  <c r="D94" i="19"/>
  <c r="C94" i="19"/>
  <c r="C95" i="19" s="1"/>
  <c r="B96" i="19" l="1"/>
  <c r="D95" i="19"/>
  <c r="B97" i="19" l="1"/>
  <c r="D96" i="19"/>
  <c r="C96" i="19"/>
  <c r="B98" i="19" l="1"/>
  <c r="D97" i="19"/>
  <c r="C97" i="19"/>
  <c r="C98" i="19" l="1"/>
  <c r="B99" i="19"/>
  <c r="D98" i="19"/>
  <c r="B100" i="19" l="1"/>
  <c r="D99" i="19"/>
  <c r="C99" i="19"/>
  <c r="C100" i="19" s="1"/>
  <c r="D100" i="19" l="1"/>
  <c r="B101" i="19"/>
  <c r="C101" i="19" s="1"/>
  <c r="B102" i="19" l="1"/>
  <c r="D101" i="19"/>
  <c r="B103" i="19" l="1"/>
  <c r="D102" i="19"/>
  <c r="C102" i="19"/>
  <c r="C103" i="19" s="1"/>
  <c r="B104" i="19" l="1"/>
  <c r="D103" i="19"/>
  <c r="B105" i="19" l="1"/>
  <c r="D104" i="19"/>
  <c r="C104" i="19"/>
  <c r="B106" i="19" l="1"/>
  <c r="D105" i="19"/>
  <c r="C105" i="19"/>
  <c r="C106" i="19" s="1"/>
  <c r="B107" i="19" l="1"/>
  <c r="D106" i="19"/>
  <c r="B108" i="19" l="1"/>
  <c r="D107" i="19"/>
  <c r="C107" i="19"/>
  <c r="C108" i="19" l="1"/>
  <c r="B109" i="19"/>
  <c r="D108" i="19"/>
  <c r="B110" i="19" l="1"/>
  <c r="D109" i="19"/>
  <c r="C109" i="19"/>
  <c r="C110" i="19" l="1"/>
  <c r="B111" i="19"/>
  <c r="D110" i="19"/>
  <c r="B112" i="19" l="1"/>
  <c r="D111" i="19"/>
  <c r="C111" i="19"/>
  <c r="C112" i="19" s="1"/>
  <c r="B113" i="19" l="1"/>
  <c r="D113" i="19" s="1"/>
  <c r="D112" i="19"/>
  <c r="C113" i="19" l="1"/>
</calcChain>
</file>

<file path=xl/comments1.xml><?xml version="1.0" encoding="utf-8"?>
<comments xmlns="http://schemas.openxmlformats.org/spreadsheetml/2006/main">
  <authors>
    <author>Francisco Fonseca</author>
  </authors>
  <commentList>
    <comment ref="G2" authorId="0" shapeId="0">
      <text>
        <r>
          <rPr>
            <b/>
            <sz val="9"/>
            <color indexed="81"/>
            <rFont val="Tahoma"/>
            <family val="2"/>
          </rPr>
          <t>Francisco Fonseca:</t>
        </r>
        <r>
          <rPr>
            <sz val="9"/>
            <color indexed="81"/>
            <rFont val="Tahoma"/>
            <family val="2"/>
          </rPr>
          <t xml:space="preserve">
IN 020/2008 MPOG
https://www.governodigital.gov.br/documentos-e-arquivos/legislacao/11%20-%20IN%2002%2030-04-08.pdf/view
Interna: 600m²
Externa: 1200m²
Esquadria: 220m²
Fachada: 110m²
1,0 encarregado para 30 serventes</t>
        </r>
      </text>
    </comment>
  </commentList>
</comments>
</file>

<file path=xl/comments2.xml><?xml version="1.0" encoding="utf-8"?>
<comments xmlns="http://schemas.openxmlformats.org/spreadsheetml/2006/main">
  <authors>
    <author>Francisco Fonseca</author>
  </authors>
  <commentList>
    <comment ref="A3" authorId="0" shapeId="0">
      <text>
        <r>
          <rPr>
            <b/>
            <sz val="9"/>
            <color indexed="81"/>
            <rFont val="Segoe UI"/>
            <family val="2"/>
          </rPr>
          <t>Francisco Fonseca:</t>
        </r>
        <r>
          <rPr>
            <sz val="9"/>
            <color indexed="81"/>
            <rFont val="Segoe UI"/>
            <family val="2"/>
          </rPr>
          <t xml:space="preserve">
80% DAS EXIGÊNCIAS</t>
        </r>
      </text>
    </comment>
    <comment ref="A4" authorId="0" shapeId="0">
      <text>
        <r>
          <rPr>
            <b/>
            <sz val="9"/>
            <color indexed="81"/>
            <rFont val="Segoe UI"/>
            <family val="2"/>
          </rPr>
          <t>Francisco Fonseca:</t>
        </r>
        <r>
          <rPr>
            <sz val="9"/>
            <color indexed="81"/>
            <rFont val="Segoe UI"/>
            <family val="2"/>
          </rPr>
          <t xml:space="preserve">
Aplicação da Proporcionalidade:
76,5 ---100%
P------p%
40,5---0%
ou seja:
(P-40,5)/(76,5-40,5)=(p-0)/(100-0)
onde:
p=(100P-4050)/36
</t>
        </r>
      </text>
    </comment>
  </commentList>
</comments>
</file>

<file path=xl/sharedStrings.xml><?xml version="1.0" encoding="utf-8"?>
<sst xmlns="http://schemas.openxmlformats.org/spreadsheetml/2006/main" count="1255" uniqueCount="576">
  <si>
    <t>Recife - Sede</t>
  </si>
  <si>
    <t>Recife - CEE</t>
  </si>
  <si>
    <t>Caruaru</t>
  </si>
  <si>
    <t>Cabo de Santo Agostinho</t>
  </si>
  <si>
    <t>Garanhuns</t>
  </si>
  <si>
    <t>Goiana</t>
  </si>
  <si>
    <t>Serra Talhada</t>
  </si>
  <si>
    <t>Araripina</t>
  </si>
  <si>
    <t>Petrolina</t>
  </si>
  <si>
    <t>LOCAL</t>
  </si>
  <si>
    <t>SETOR</t>
  </si>
  <si>
    <t>B</t>
  </si>
  <si>
    <t>Bloco A1</t>
  </si>
  <si>
    <t>Bloco A2</t>
  </si>
  <si>
    <t>Bloco B1</t>
  </si>
  <si>
    <t>Bloco B2</t>
  </si>
  <si>
    <t>Bloco C1</t>
  </si>
  <si>
    <t>Bloco C2</t>
  </si>
  <si>
    <t>CDE</t>
  </si>
  <si>
    <t>Almoxarifado</t>
  </si>
  <si>
    <t>Sala dos Motoristas</t>
  </si>
  <si>
    <t>ÁREA INTERNA (m²)</t>
  </si>
  <si>
    <t>ÁREA EXTERNA (m²)</t>
  </si>
  <si>
    <t>Guarita</t>
  </si>
  <si>
    <t>Área de Serviço</t>
  </si>
  <si>
    <t>1º Pavimento</t>
  </si>
  <si>
    <t>2ºPavimento</t>
  </si>
  <si>
    <t>Refeitório</t>
  </si>
  <si>
    <t>QUADRO DE PRODUTIVIDADE PARA EQUIPE DE LIMPEZA</t>
  </si>
  <si>
    <t>ÁREA FACHADA (m²)</t>
  </si>
  <si>
    <t xml:space="preserve">Item </t>
  </si>
  <si>
    <t>Destino</t>
  </si>
  <si>
    <t>Unidade</t>
  </si>
  <si>
    <t>Recife</t>
  </si>
  <si>
    <t>COPA</t>
  </si>
  <si>
    <t>Açúcar</t>
  </si>
  <si>
    <t>Copa</t>
  </si>
  <si>
    <t>Cx c/ 300 sachês</t>
  </si>
  <si>
    <t>Adoçante</t>
  </si>
  <si>
    <t>copa</t>
  </si>
  <si>
    <t>Frasco c/ 100ml</t>
  </si>
  <si>
    <t>Café</t>
  </si>
  <si>
    <t>pc 500g</t>
  </si>
  <si>
    <t>Copo Água</t>
  </si>
  <si>
    <t>cx c/ 2500</t>
  </si>
  <si>
    <t>Copo Café</t>
  </si>
  <si>
    <t>Filtro de Café 102</t>
  </si>
  <si>
    <t>pc</t>
  </si>
  <si>
    <t>Filtro de Café 103</t>
  </si>
  <si>
    <t>Fósforo</t>
  </si>
  <si>
    <t>Maço c/ 10</t>
  </si>
  <si>
    <t>Guardanapo</t>
  </si>
  <si>
    <t>Pc c/ 100 fls</t>
  </si>
  <si>
    <t>Palito de Dente</t>
  </si>
  <si>
    <t>caixinha</t>
  </si>
  <si>
    <t>LIMPEZA</t>
  </si>
  <si>
    <t>Água Sanitária</t>
  </si>
  <si>
    <t>Limpeza</t>
  </si>
  <si>
    <t>1L</t>
  </si>
  <si>
    <t>Desinfetante</t>
  </si>
  <si>
    <t>Bombona 5L</t>
  </si>
  <si>
    <t>Unidades</t>
  </si>
  <si>
    <t>500 ml</t>
  </si>
  <si>
    <t>Esponja de aço</t>
  </si>
  <si>
    <t>pc c/ 8</t>
  </si>
  <si>
    <t>Flanela</t>
  </si>
  <si>
    <t>Inseticida</t>
  </si>
  <si>
    <t>Limpa vidro</t>
  </si>
  <si>
    <t>Lustra Móveis</t>
  </si>
  <si>
    <t>Multiuso</t>
  </si>
  <si>
    <t>Papel Higiênico</t>
  </si>
  <si>
    <t>Rolo com 250m</t>
  </si>
  <si>
    <t>Papel Toalha</t>
  </si>
  <si>
    <t>Rolo com 200m</t>
  </si>
  <si>
    <t>Sabão em Barra</t>
  </si>
  <si>
    <t>Pc c/ 5</t>
  </si>
  <si>
    <t>Sabão em pó</t>
  </si>
  <si>
    <t>Galão 5 L</t>
  </si>
  <si>
    <t>Pc c 100</t>
  </si>
  <si>
    <t>Vaselina</t>
  </si>
  <si>
    <t>Cabo</t>
  </si>
  <si>
    <t>Odorizador de ambiente</t>
  </si>
  <si>
    <t>Escova nylon para vaso</t>
  </si>
  <si>
    <t>ESPECIFICAÇÃO</t>
  </si>
  <si>
    <t>Desentupidor de pia</t>
  </si>
  <si>
    <t>Desentupidor de vaso</t>
  </si>
  <si>
    <t>Mop líquido completo</t>
  </si>
  <si>
    <t>Mop pó completo</t>
  </si>
  <si>
    <t>Vassoura de 60 cm</t>
  </si>
  <si>
    <t>Vassoura de pêlo com cabo – tamanho: 40 cm de largura</t>
  </si>
  <si>
    <t>Vassoura para limpeza de vaso sanitário, com cabo plástico</t>
  </si>
  <si>
    <t>Vassoura piaçava, ou nylon com cabo</t>
  </si>
  <si>
    <t>Vassourão com 40cm, com cabo de 1,50m – vassoura de gari</t>
  </si>
  <si>
    <t>Pá coletora de lixo, com caixa coletora e cabo anatômico, com altura ergométrica</t>
  </si>
  <si>
    <t>unid.</t>
  </si>
  <si>
    <t>Rodo de alumínio, com duas borrachas, com 80 cm de largura, com cabo 1,5m</t>
  </si>
  <si>
    <t>Vassourão com 60cm, com cabo de 1,50m – vassoura de gari</t>
  </si>
  <si>
    <t>Mangueira de borracha ¾ com nylon trançado, 50m</t>
  </si>
  <si>
    <t>Pano de chão</t>
  </si>
  <si>
    <t>ITEM</t>
  </si>
  <si>
    <t>Aspirador de água e pó industrical, 2500w, 50L</t>
  </si>
  <si>
    <t>Balde com espremedor para MOP liquido, 30L</t>
  </si>
  <si>
    <t>Carrinho container 240L, pneu e tampa</t>
  </si>
  <si>
    <t>Carrinho container 400L, PEAD</t>
  </si>
  <si>
    <t>Escada 6,0 degraus, em aluminio</t>
  </si>
  <si>
    <t>Lava jato 2000w</t>
  </si>
  <si>
    <t>Item</t>
  </si>
  <si>
    <t>Especificações</t>
  </si>
  <si>
    <t>Carro funcional com bolsa (1,24mx0,60m)</t>
  </si>
  <si>
    <t>Rádio transmissor</t>
  </si>
  <si>
    <t>VALOR TOTAL (MENSAL)</t>
  </si>
  <si>
    <t>Instruções:</t>
  </si>
  <si>
    <t>SALÁRIO BASE DOS PROFISSIONAIS (R$)</t>
  </si>
  <si>
    <t>Quant.</t>
  </si>
  <si>
    <t>NOMINAL</t>
  </si>
  <si>
    <r>
      <t xml:space="preserve">1) Os campos de </t>
    </r>
    <r>
      <rPr>
        <b/>
        <sz val="11"/>
        <color theme="3" tint="0.39997558519241921"/>
        <rFont val="Calibri"/>
        <family val="2"/>
        <scheme val="minor"/>
      </rPr>
      <t>preenchimento</t>
    </r>
    <r>
      <rPr>
        <sz val="11"/>
        <color theme="1"/>
        <rFont val="Calibri"/>
        <family val="2"/>
        <scheme val="minor"/>
      </rPr>
      <t xml:space="preserve"> estão sinalizados </t>
    </r>
    <r>
      <rPr>
        <b/>
        <sz val="11"/>
        <color theme="3" tint="0.39997558519241921"/>
        <rFont val="Calibri"/>
        <family val="2"/>
        <scheme val="minor"/>
      </rPr>
      <t>na cor azul</t>
    </r>
    <r>
      <rPr>
        <sz val="11"/>
        <color theme="1"/>
        <rFont val="Calibri"/>
        <family val="2"/>
        <scheme val="minor"/>
      </rPr>
      <t>.</t>
    </r>
  </si>
  <si>
    <t>VALOR  DO SALÁRIO NOMINAL</t>
  </si>
  <si>
    <t>TOTAL PARA 12 MESES DO SALÁRIO NOMINAL</t>
  </si>
  <si>
    <t>COMPOSIÇÃO DOS PREÇOS</t>
  </si>
  <si>
    <r>
      <t xml:space="preserve">MÓDULO 1 (M1) </t>
    </r>
    <r>
      <rPr>
        <b/>
        <sz val="9"/>
        <color indexed="8"/>
        <rFont val="Verdana"/>
        <family val="2"/>
      </rPr>
      <t>– COMPOSIÇÃO DA REMUNERAÇÃO. É composto pelo salário normativo da categoria profissional vigente, acrescido dos adicionais previstos em lei ou em acordo, convenção ou dissídio coletivo.</t>
    </r>
  </si>
  <si>
    <t>I</t>
  </si>
  <si>
    <t>Remuneração</t>
  </si>
  <si>
    <t>Valor</t>
  </si>
  <si>
    <t>A</t>
  </si>
  <si>
    <t>Salário base</t>
  </si>
  <si>
    <t>C</t>
  </si>
  <si>
    <t>TOTAL M1</t>
  </si>
  <si>
    <t>Memoria de cálculo</t>
  </si>
  <si>
    <r>
      <t xml:space="preserve">MÓDULO 2 (M2) </t>
    </r>
    <r>
      <rPr>
        <b/>
        <sz val="9"/>
        <color indexed="8"/>
        <rFont val="Verdana"/>
        <family val="2"/>
      </rPr>
      <t xml:space="preserve">– BENEFÍCIOS MENSAIS E DIÁRIOS. Custos relativos aos benefícios concedidos ao empregado estabelecidos na legislação, acordos, convenções coletivas e sentenças normativas em dissídios coletivos, tais como, vale transporte, auxílio alimentação, assistência médica e familiar, seguro de vida, invalidez e funeral, entre outros. </t>
    </r>
  </si>
  <si>
    <t>Quant.
Dias</t>
  </si>
  <si>
    <t>Vlr
Passagens
(ida-volta)</t>
  </si>
  <si>
    <t>Total</t>
  </si>
  <si>
    <t>Desconto
(06% Sal. Base)</t>
  </si>
  <si>
    <t>Total Líquido</t>
  </si>
  <si>
    <t>II</t>
  </si>
  <si>
    <t>Benefício</t>
  </si>
  <si>
    <t>Unit.</t>
  </si>
  <si>
    <r>
      <t xml:space="preserve">Transporte – Vale A [ </t>
    </r>
    <r>
      <rPr>
        <b/>
        <sz val="9"/>
        <color theme="1"/>
        <rFont val="Verdana"/>
        <family val="2"/>
      </rPr>
      <t>exemplo</t>
    </r>
    <r>
      <rPr>
        <sz val="9"/>
        <color theme="1"/>
        <rFont val="Verdana"/>
        <family val="2"/>
      </rPr>
      <t>: (menos 6% participação do empregado) VT = R$ 3,20 X 2 = 6,40 X 26dd =166,40 - 85,40 ( PART.Emprega  = R$ 42,20)].</t>
    </r>
  </si>
  <si>
    <t>Auxílio alimentação</t>
  </si>
  <si>
    <t>D</t>
  </si>
  <si>
    <t>E</t>
  </si>
  <si>
    <t>F</t>
  </si>
  <si>
    <t>TOTAL M2</t>
  </si>
  <si>
    <r>
      <t xml:space="preserve">MÓDULO 3 (M3) </t>
    </r>
    <r>
      <rPr>
        <b/>
        <sz val="9"/>
        <color indexed="8"/>
        <rFont val="Verdana"/>
        <family val="2"/>
      </rPr>
      <t>– INSUMOS DIVERSOS (uniformes, materiais e outros). Composto pelos custos relativos a materiais utilizados diretamente na execução dos serviços.</t>
    </r>
  </si>
  <si>
    <t>III</t>
  </si>
  <si>
    <t>Insumos</t>
  </si>
  <si>
    <t>Uniformes</t>
  </si>
  <si>
    <t>Outros (especificar)</t>
  </si>
  <si>
    <t>TOTAL M3</t>
  </si>
  <si>
    <r>
      <t xml:space="preserve">MÓDULO 4 (M4) </t>
    </r>
    <r>
      <rPr>
        <b/>
        <sz val="9"/>
        <color indexed="8"/>
        <rFont val="Verdana"/>
        <family val="2"/>
      </rPr>
      <t>– ENCARGOS SOCIAIS E TRABALHISTAS. Composto pelos submódulos: Encargos Previdenciários, FGTS, 13º Salário, Adicional de Férias, Afastamento Maternidade e Rescisão e Custo do Profissional Ausente. São os custos de mão de obra decorrentes da legislação trabalhista e previdenciária, estimados em função das ocorrências verificadas na empresa e das peculiaridades da contratação.</t>
    </r>
  </si>
  <si>
    <t>IV-1</t>
  </si>
  <si>
    <t>Encargos</t>
  </si>
  <si>
    <t>INSS</t>
  </si>
  <si>
    <t>SESI ou SESC</t>
  </si>
  <si>
    <t>SENAI ou SENAC</t>
  </si>
  <si>
    <t>INCRA</t>
  </si>
  <si>
    <t>Salário Educação</t>
  </si>
  <si>
    <t>FGTS</t>
  </si>
  <si>
    <t>G</t>
  </si>
  <si>
    <t>SAT</t>
  </si>
  <si>
    <t>H</t>
  </si>
  <si>
    <t>SEBRAE</t>
  </si>
  <si>
    <t>TOTAL IV-1</t>
  </si>
  <si>
    <t>IV-2</t>
  </si>
  <si>
    <t>Encargo</t>
  </si>
  <si>
    <t>(%)</t>
  </si>
  <si>
    <t>13º Salário</t>
  </si>
  <si>
    <t>Incidência do Submódulo IV-1 sobre 13º Salário</t>
  </si>
  <si>
    <t>TOTAL IV-2</t>
  </si>
  <si>
    <t>IV-3</t>
  </si>
  <si>
    <t>Afastamento Maternidade</t>
  </si>
  <si>
    <t>Incidência do Submódulo IV-1 sobre Afastamento Maternidade</t>
  </si>
  <si>
    <t>TOTAL IV-3</t>
  </si>
  <si>
    <t>IV-4</t>
  </si>
  <si>
    <t>Encargo (Provisão para Rescisão)</t>
  </si>
  <si>
    <t>Aviso prévio indenizado</t>
  </si>
  <si>
    <t>Incidência do FGTS s/aviso prévio indenizado</t>
  </si>
  <si>
    <t>Multa do FGTS s/aviso prévio indenizado</t>
  </si>
  <si>
    <t>Aviso prévio trabalhado</t>
  </si>
  <si>
    <t>Incidência do submódulo IV.1 sobre aviso prévio trabalhado</t>
  </si>
  <si>
    <t>Multa FGTS do aviso prévio trabalhado</t>
  </si>
  <si>
    <t>TOTAL IV-4</t>
  </si>
  <si>
    <t>Submódulo IV-5: Custo de Reposição do Profissional Ausente. É Calculado com base no cálculo do período não trabalhado. O Custo de referência para cálculo da reposição do profissional ausente deve levar em conta todos os custos para manter o profissional no posto de trabalho, (salário base acrescido dos adicionais e encargos, uniformes, custo de rescisão, etc., com exceção dos equipamentos).</t>
  </si>
  <si>
    <t>IV-5</t>
  </si>
  <si>
    <t>Férias + adicional férias</t>
  </si>
  <si>
    <t>Ausência por doença</t>
  </si>
  <si>
    <t>Licença paternidade</t>
  </si>
  <si>
    <t>Ausências legais</t>
  </si>
  <si>
    <t>Ausência por acidente de trabalho</t>
  </si>
  <si>
    <t>f</t>
  </si>
  <si>
    <t>Subtotal</t>
  </si>
  <si>
    <t>Incidência do submódulo IV-1 sobre o Custo de Reposição</t>
  </si>
  <si>
    <t>TOTAL IV-5</t>
  </si>
  <si>
    <t>QUADRO RESUMO - M4</t>
  </si>
  <si>
    <t>13º Salário + Adicional de Férias</t>
  </si>
  <si>
    <t>Encargos Previdenciários e FGTS</t>
  </si>
  <si>
    <t>Provisão para Rescisão</t>
  </si>
  <si>
    <t>Custo de Reposição do Profissional Ausente</t>
  </si>
  <si>
    <t>TOTAL M4</t>
  </si>
  <si>
    <t>PLANILHAS ANALÍTICAS PARA DEMONSTRAÇÃO DOS CUSTOS DOS INSUMOS - M3</t>
  </si>
  <si>
    <t>(III-A)</t>
  </si>
  <si>
    <t>QUADRO RESUMO</t>
  </si>
  <si>
    <t>VALOR MENSAL POR EMPREGADO SEM BDI (M1 + M2 + M3 + M4)</t>
  </si>
  <si>
    <r>
      <t xml:space="preserve">MÓDULO 5 (M5) </t>
    </r>
    <r>
      <rPr>
        <b/>
        <sz val="9"/>
        <color indexed="8"/>
        <rFont val="Verdana"/>
        <family val="2"/>
      </rPr>
      <t>– CUSTOS INDIRETOS, TRIBUTOS E LUCRO  (BDI/TAXAS)</t>
    </r>
  </si>
  <si>
    <t>VII</t>
  </si>
  <si>
    <t>DESCRIÇÃO</t>
  </si>
  <si>
    <t>Taxa dos Custos Indiretos (porcentual e valor)</t>
  </si>
  <si>
    <t>BASE DE CÁLCULO DOS CUSTOS INDIRETOS = VALOR GLOBAL (M1 + M2 + M3 + M4)</t>
  </si>
  <si>
    <t>Taxa de Lucro (porcentual e valor)</t>
  </si>
  <si>
    <t>BASE DE CÁLCULO DO LUCRO =  Total (M1 + M2 + M3 + M4 + Custos Indiretos)</t>
  </si>
  <si>
    <t>BASE DE CÁLCULO PARA TRIBUTOS =  Total (M1+ M2 + M3 + M4 + Custos Indiretos + Lucro) = (T0)</t>
  </si>
  <si>
    <t xml:space="preserve">CÁLCULO T1 (Subtotal  para   efeito  de  cálculo  dos Tributos) </t>
  </si>
  <si>
    <t>Cálculo dos Tributos: (T1 em percentual %) x</t>
  </si>
  <si>
    <t>(</t>
  </si>
  <si>
    <t>TO</t>
  </si>
  <si>
    <t>)</t>
  </si>
  <si>
    <t>1-(T1 em numeral dividido por 100)</t>
  </si>
  <si>
    <t>Taxa Dos Tributos (porcentual e valor)</t>
  </si>
  <si>
    <r>
      <t xml:space="preserve">Federais </t>
    </r>
    <r>
      <rPr>
        <sz val="9"/>
        <color indexed="8"/>
        <rFont val="Verdana"/>
        <family val="2"/>
      </rPr>
      <t>(exceto IRPJ e CSLL)</t>
    </r>
  </si>
  <si>
    <t>a)</t>
  </si>
  <si>
    <t>b)</t>
  </si>
  <si>
    <t>Municipais</t>
  </si>
  <si>
    <t>ISS</t>
  </si>
  <si>
    <t>TOTAL M5</t>
  </si>
  <si>
    <t>QUADRO RESUMO POR EMPREGADO</t>
  </si>
  <si>
    <t>VALOR TOTAL MENSAL (COM BDI/TAXAS)</t>
  </si>
  <si>
    <t>SERVIÇOS</t>
  </si>
  <si>
    <t>LOCAL/PROFISSIONAL</t>
  </si>
  <si>
    <t>QUANT.</t>
  </si>
  <si>
    <t>UNITÁRIO</t>
  </si>
  <si>
    <t>SEDE DO SEBRAE-PE</t>
  </si>
  <si>
    <t>VALOR TOTAL MENSAL SERVIÇOS</t>
  </si>
  <si>
    <t>TOTAL PARA 12 MESES</t>
  </si>
  <si>
    <t>Copeira (CBO 5134-25)</t>
  </si>
  <si>
    <t>Composição de B.D.I - SERVIÇOS</t>
  </si>
  <si>
    <t xml:space="preserve">TODOS OS LICITANTES DEVERÃO APRESENTAR, COMO PARTE INTEGRANTE DE SUAS PROPOSTAS, COMPOSIÇÃO ANALÍTICA DO BDI  </t>
  </si>
  <si>
    <t>SIGLA</t>
  </si>
  <si>
    <t>TAXA %</t>
  </si>
  <si>
    <t>TAXA DE RATEIO DA ADMINISTRAÇÃO CENTRAL</t>
  </si>
  <si>
    <t>AC</t>
  </si>
  <si>
    <t>SEGURO</t>
  </si>
  <si>
    <t>S</t>
  </si>
  <si>
    <t>RISCO</t>
  </si>
  <si>
    <t>R</t>
  </si>
  <si>
    <t>GARANTIA</t>
  </si>
  <si>
    <t>DESPESAS FINANCEIRAS</t>
  </si>
  <si>
    <t>DF</t>
  </si>
  <si>
    <t>LUCRO</t>
  </si>
  <si>
    <t>L</t>
  </si>
  <si>
    <t>TRIBUTOS (SOMA DOS ITENS ISS, PIS, CONFINS E CPRB)</t>
  </si>
  <si>
    <t>ISS*</t>
  </si>
  <si>
    <t>PIS</t>
  </si>
  <si>
    <t>COFINS</t>
  </si>
  <si>
    <t>CPRB</t>
  </si>
  <si>
    <t>BDI RESULTANTE</t>
  </si>
  <si>
    <t>* O valor de ISS foi considerado por ser corresponder à aliquota estabelecida no município de Recife, a este foi considerado 50% para mão de obra</t>
  </si>
  <si>
    <t>Fórmula do BDI conforme Acórdão TCU 2622/2013-P:</t>
  </si>
  <si>
    <t xml:space="preserve">COMPOSIÇÃO DE ENCARGOS SOCIAIS - LS     </t>
  </si>
  <si>
    <t>COMPOSIÇÃO DA TAXA DE ENCARGOS SOCIAIS COM DESONERAÇÃO</t>
  </si>
  <si>
    <t>HORISTAS</t>
  </si>
  <si>
    <t>MENSALISTA</t>
  </si>
  <si>
    <t>A1</t>
  </si>
  <si>
    <t>A2</t>
  </si>
  <si>
    <t>SESI</t>
  </si>
  <si>
    <t>A3</t>
  </si>
  <si>
    <t>SENAI</t>
  </si>
  <si>
    <t>A4</t>
  </si>
  <si>
    <t>A5</t>
  </si>
  <si>
    <t>A6</t>
  </si>
  <si>
    <t>SALÁRIO-EDUCAÇÃO</t>
  </si>
  <si>
    <t>A7</t>
  </si>
  <si>
    <t>SEGURO CONTRA ACIDENTES DE TRABALHO</t>
  </si>
  <si>
    <t>A8</t>
  </si>
  <si>
    <t>A9</t>
  </si>
  <si>
    <t>SECONCI</t>
  </si>
  <si>
    <t>TOTAL DOS ENCARGOS SOCIAIS BÁSICOS</t>
  </si>
  <si>
    <t>B1</t>
  </si>
  <si>
    <t>REPOUSO SEMANAL REMUNERADO</t>
  </si>
  <si>
    <t>B2</t>
  </si>
  <si>
    <t>FERIADOS</t>
  </si>
  <si>
    <t>B3</t>
  </si>
  <si>
    <t>AUXÍLIO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</si>
  <si>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</si>
  <si>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</si>
  <si>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</si>
  <si>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</si>
  <si>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</si>
  <si>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</si>
  <si>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</si>
  <si>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</si>
  <si>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</si>
  <si>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</si>
  <si>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</si>
  <si>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</si>
  <si>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</si>
  <si>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</si>
  <si>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 xml:space="preserve">TOTAL DE ENCARGOS SOCIAIS QUE RECEBEM  INCIDÊNCIAS DE A </t>
  </si>
  <si>
    <t>C1</t>
  </si>
  <si>
    <t>AVISO PRÉVIO INDENIZADO</t>
  </si>
  <si>
    <t>C2</t>
  </si>
  <si>
    <t>AVISO PRÉVIO TRABALHADO</t>
  </si>
  <si>
    <t>C3</t>
  </si>
  <si>
    <t>FÉRIAS INDENIZADAS</t>
  </si>
  <si>
    <t>C4</t>
  </si>
  <si>
    <t>DEPÓSITO DE RECISÃO SEM JUSTA CAUSA</t>
  </si>
  <si>
    <t>C5</t>
  </si>
  <si>
    <t>INDENIZAÇÃO ADICIONAL</t>
  </si>
  <si>
    <t>TOTAL DE ENCARGOS SOCIAIS QUE NÃO RECEBEM INCIDÊNCIAS DE A</t>
  </si>
  <si>
    <t>D1</t>
  </si>
  <si>
    <t>REINCIDÊNCIA DO GRUPO A SOBRE O GRUPO B</t>
  </si>
  <si>
    <t>D2</t>
  </si>
  <si>
    <t>REINCIDÊNCIA DE GRUPO A SOBRE AVISO PRÉVIO TRABALHADO E REINCIDÊNCIA DO FGTS SOBRE AVISO PRÉVIO INDENIZADO</t>
  </si>
  <si>
    <t>TOTAL DE REINCIDÊNCIAS DE UM GRUPO SOBRE O OUTRO</t>
  </si>
  <si>
    <t xml:space="preserve">      PERCENTAGEM  TOTAL  ................................................................................</t>
  </si>
  <si>
    <t>Custo Unitário (R$)</t>
  </si>
  <si>
    <t>Custo Mensal (R$)</t>
  </si>
  <si>
    <t>Balde plástico preto com capacidade para 12L</t>
  </si>
  <si>
    <t>Vida Util</t>
  </si>
  <si>
    <t>Rodo de alumínio, borrachas dupla, com 40 cm de largura, com cabo 1,5m</t>
  </si>
  <si>
    <t>Espanador de penas, 20cm</t>
  </si>
  <si>
    <t>Pulverizador manual, 1500ml</t>
  </si>
  <si>
    <t>Álcool Etílico hidratado 65º</t>
  </si>
  <si>
    <t>Neutralizador de odor</t>
  </si>
  <si>
    <t>Detergente líquido</t>
  </si>
  <si>
    <t>unidades</t>
  </si>
  <si>
    <t>Anti mofo</t>
  </si>
  <si>
    <t>Solução ácida</t>
  </si>
  <si>
    <t>unidade</t>
  </si>
  <si>
    <t>Pastilha desodorante suporte</t>
  </si>
  <si>
    <t>Sabonete líquido espumante</t>
  </si>
  <si>
    <t>Saco de Lixo 60L</t>
  </si>
  <si>
    <t>Saco de Lixo 100L</t>
  </si>
  <si>
    <t>Saco de Lixo 20L</t>
  </si>
  <si>
    <t>Tela desodorizadora Mictório</t>
  </si>
  <si>
    <t>ENTRADA DE DADOS</t>
  </si>
  <si>
    <t xml:space="preserve">ISSQN - </t>
  </si>
  <si>
    <t>Áreas reais da unidade (em M²)</t>
  </si>
  <si>
    <t>Tipos de Áreas</t>
  </si>
  <si>
    <t>Edifício Sede</t>
  </si>
  <si>
    <t>PRMs ou PTMs</t>
  </si>
  <si>
    <t>TOTAL</t>
  </si>
  <si>
    <r>
      <t xml:space="preserve">área interna </t>
    </r>
    <r>
      <rPr>
        <b/>
        <sz val="8"/>
        <rFont val="Arial"/>
        <family val="2"/>
      </rPr>
      <t>(1)</t>
    </r>
  </si>
  <si>
    <r>
      <t xml:space="preserve">área externa </t>
    </r>
    <r>
      <rPr>
        <b/>
        <sz val="8"/>
        <rFont val="Arial"/>
        <family val="2"/>
      </rPr>
      <t>(1)</t>
    </r>
  </si>
  <si>
    <r>
      <t xml:space="preserve">esquadria externa (face interna </t>
    </r>
    <r>
      <rPr>
        <b/>
        <sz val="8"/>
        <rFont val="Arial"/>
        <family val="2"/>
      </rPr>
      <t>(1)</t>
    </r>
  </si>
  <si>
    <r>
      <t xml:space="preserve">fachaçada envidraçada </t>
    </r>
    <r>
      <rPr>
        <b/>
        <sz val="8"/>
        <rFont val="Arial"/>
        <family val="2"/>
      </rPr>
      <t>(1)</t>
    </r>
  </si>
  <si>
    <r>
      <t>Observações:</t>
    </r>
    <r>
      <rPr>
        <sz val="11"/>
        <color theme="1"/>
        <rFont val="Calibri"/>
        <family val="2"/>
        <scheme val="minor"/>
      </rPr>
      <t xml:space="preserve"> </t>
    </r>
  </si>
  <si>
    <t xml:space="preserve">Preço do homem-mês : </t>
  </si>
  <si>
    <t>servente</t>
  </si>
  <si>
    <t>encarregado</t>
  </si>
  <si>
    <t>ANEXO III-F da IN/SLTI nº 2/2008 alterada.</t>
  </si>
  <si>
    <t>(Produtivades mínimas do art. 44, considerando os parâmetros do anexo V da IN/SLTI)</t>
  </si>
  <si>
    <t>Tipo de área</t>
  </si>
  <si>
    <r>
      <t xml:space="preserve">Produtividade ( I )
(1/m²) </t>
    </r>
    <r>
      <rPr>
        <b/>
        <sz val="8"/>
        <rFont val="Arial"/>
        <family val="2"/>
      </rPr>
      <t>(1)</t>
    </r>
  </si>
  <si>
    <t>Preço do homem-mês ( II )</t>
  </si>
  <si>
    <t>Subtotal (R$/m²)
( I ) x ( II )</t>
  </si>
  <si>
    <t>área interna</t>
  </si>
  <si>
    <t xml:space="preserve">servente </t>
  </si>
  <si>
    <t>preço por m² total - área interna</t>
  </si>
  <si>
    <t>área externa</t>
  </si>
  <si>
    <t>preço por m² total - área externa</t>
  </si>
  <si>
    <t>esquadria externa</t>
  </si>
  <si>
    <t>preço por m² total - esquadria externa</t>
  </si>
  <si>
    <t>fachaçada envidraçada</t>
  </si>
  <si>
    <t>preço por m² total - fachada envidraçada</t>
  </si>
  <si>
    <t xml:space="preserve">Preço por m² mensal
 (R$/m²) </t>
  </si>
  <si>
    <t>Área (m²)</t>
  </si>
  <si>
    <t>Limite por tipo de 
área(R$)</t>
  </si>
  <si>
    <t xml:space="preserve"> %</t>
  </si>
  <si>
    <t>Limite Máximo Contratação mensal (R$)</t>
  </si>
  <si>
    <t>Limite Máximo Contratação anual (R$)</t>
  </si>
  <si>
    <t>Observações:</t>
  </si>
  <si>
    <r>
      <t>(1)</t>
    </r>
    <r>
      <rPr>
        <sz val="11"/>
        <color theme="1"/>
        <rFont val="Calibri"/>
        <family val="2"/>
        <scheme val="minor"/>
      </rPr>
      <t xml:space="preserve"> Produtividades mínimas determinadas no art.44 da IN/SLTI nº 2/2008 alterada.</t>
    </r>
  </si>
  <si>
    <r>
      <t>(1)</t>
    </r>
    <r>
      <rPr>
        <sz val="11"/>
        <color theme="1"/>
        <rFont val="Calibri"/>
        <family val="2"/>
        <scheme val="minor"/>
      </rPr>
      <t xml:space="preserve"> A produtividade do encarregado é apurada com base na relação entre serventes e encarregados apontada no §1º do art. 44 da IN/SLTI nº 2/2008</t>
    </r>
  </si>
  <si>
    <t xml:space="preserve"> alterada, caso seja modificada estes valores das planilhas deverão ser adequados à nova situação, bem como os coeficientes deles decorrentes (Ki).</t>
  </si>
  <si>
    <r>
      <t xml:space="preserve">(2) </t>
    </r>
    <r>
      <rPr>
        <sz val="11"/>
        <color theme="1"/>
        <rFont val="Calibri"/>
        <family val="2"/>
        <scheme val="minor"/>
      </rPr>
      <t>Freqüência sugerida em horas por mês, no caso da área de esquadrias externas, e horas por semestre, no caso da área de fachaçada envridraçada.</t>
    </r>
  </si>
  <si>
    <t xml:space="preserve"> Caso a freqüência adotada, em horas, por mês ou semestre, seja diferente, estes valores deverão ser adequados à nova situação, bem como os </t>
  </si>
  <si>
    <t xml:space="preserve">coeficientes delas decorrentes (Ki). </t>
  </si>
  <si>
    <t>Video-conferencia</t>
  </si>
  <si>
    <t>Foyer</t>
  </si>
  <si>
    <t>Auditório (Plateia)</t>
  </si>
  <si>
    <t>Arquivo permanente</t>
  </si>
  <si>
    <t xml:space="preserve">Estacionamento </t>
  </si>
  <si>
    <t>Unidades Interior</t>
  </si>
  <si>
    <r>
      <t>(1)</t>
    </r>
    <r>
      <rPr>
        <sz val="11"/>
        <color theme="1"/>
        <rFont val="Calibri"/>
        <family val="2"/>
        <scheme val="minor"/>
      </rPr>
      <t xml:space="preserve"> Informar as metragens reais da unidade de acordo com os tipos de áreas existentes.</t>
    </r>
  </si>
  <si>
    <t>Valor Mensal dos Serviços</t>
  </si>
  <si>
    <t>Produtividade Interna/m²</t>
  </si>
  <si>
    <t>Produtividade Externa/m²</t>
  </si>
  <si>
    <t>Quantidade de Serventes Interno</t>
  </si>
  <si>
    <t>Quantidade de Serventes Externos</t>
  </si>
  <si>
    <t>QUANTIDADE</t>
  </si>
  <si>
    <t>PREÇO</t>
  </si>
  <si>
    <t>Auxiliar de Serviços Gerais</t>
  </si>
  <si>
    <t>Material de consumo</t>
  </si>
  <si>
    <t>Copeira</t>
  </si>
  <si>
    <t>UNIDADE</t>
  </si>
  <si>
    <t>und</t>
  </si>
  <si>
    <t>mês</t>
  </si>
  <si>
    <t>PLANILHA MATERIAL DE CONSUMO</t>
  </si>
  <si>
    <t>PLANILHA AQUISIÇÃO DE UTENSÍLIOS</t>
  </si>
  <si>
    <t>PLANILHA LOCAÇÃO EQUIPAMENTOS</t>
  </si>
  <si>
    <t>Quantidade</t>
  </si>
  <si>
    <t>Custo</t>
  </si>
  <si>
    <t>Maquina lavadora e extratora (500m²/h)</t>
  </si>
  <si>
    <t>TOTAL ANUAL</t>
  </si>
  <si>
    <t>CUSTO MENSAL</t>
  </si>
  <si>
    <t>Preço</t>
  </si>
  <si>
    <t>TOTAL MENSAL</t>
  </si>
  <si>
    <t>Locação</t>
  </si>
  <si>
    <r>
      <t xml:space="preserve">Frequência mês/semestre(II)
 (em horas) </t>
    </r>
    <r>
      <rPr>
        <b/>
        <sz val="8"/>
        <rFont val="Arial"/>
        <family val="2"/>
      </rPr>
      <t>(2)</t>
    </r>
  </si>
  <si>
    <r>
      <t xml:space="preserve">Produtividade (I)
(1/m²) </t>
    </r>
    <r>
      <rPr>
        <b/>
        <sz val="8"/>
        <rFont val="Arial"/>
        <family val="2"/>
      </rPr>
      <t>(1)</t>
    </r>
  </si>
  <si>
    <t>Jornada no Mês (III)
(em horas)</t>
  </si>
  <si>
    <t>Coeficiente (ki)
(I)x(II)x(III)=(IV)</t>
  </si>
  <si>
    <t>Preço do homem-mês (V)</t>
  </si>
  <si>
    <t>Subtotal(R$/m²)
(IV)x(V)</t>
  </si>
  <si>
    <t>PLANILHA DE CÁLCULO PARA FORMAÇÃO DOS PREÇOS</t>
  </si>
  <si>
    <t>Supervisor administrativo (CBO 4101-05)</t>
  </si>
  <si>
    <t>Auxiliar de Serviços Gerais (CBO 5143-20)</t>
  </si>
  <si>
    <t>FICHA DE AVALIAÇÃO DA QUALIDADE DO SERVIÇO PRESTADO</t>
  </si>
  <si>
    <t>Limpeza do piso em seu ambiente de trabalho</t>
  </si>
  <si>
    <t>Limpeza geral do banheiro</t>
  </si>
  <si>
    <t>Limpeza dos móveis</t>
  </si>
  <si>
    <t>Limpeza dos vidros</t>
  </si>
  <si>
    <t>Limpeza das lixeiras</t>
  </si>
  <si>
    <t>Frequencia da prestaçaõ dos serviços</t>
  </si>
  <si>
    <t>Emissão de ruídos na execução das atividades</t>
  </si>
  <si>
    <t>Utilização de produtos que agradem ao olfato</t>
  </si>
  <si>
    <t>Limpeza das áreas externas</t>
  </si>
  <si>
    <t>Quanto à prestação dos serviços de limpeza</t>
  </si>
  <si>
    <t xml:space="preserve"> </t>
  </si>
  <si>
    <t>Quanto à apresentação do empregado</t>
  </si>
  <si>
    <t>a</t>
  </si>
  <si>
    <t>b</t>
  </si>
  <si>
    <t>c</t>
  </si>
  <si>
    <t>d</t>
  </si>
  <si>
    <t>e</t>
  </si>
  <si>
    <t>g</t>
  </si>
  <si>
    <t>h</t>
  </si>
  <si>
    <t>i</t>
  </si>
  <si>
    <t>Uniformizados, limpos, identificados</t>
  </si>
  <si>
    <t>Cordialidade</t>
  </si>
  <si>
    <t>Organização na forma da prestação do serviço</t>
  </si>
  <si>
    <t xml:space="preserve">Ótimo </t>
  </si>
  <si>
    <t>Bom</t>
  </si>
  <si>
    <t>Regular</t>
  </si>
  <si>
    <t>Ruim</t>
  </si>
  <si>
    <t>Não sabe</t>
  </si>
  <si>
    <t>Data_____/_____/_____</t>
  </si>
  <si>
    <t>Local avaliado:_________________________________</t>
  </si>
  <si>
    <t>Funcionário</t>
  </si>
  <si>
    <t>Cliente</t>
  </si>
  <si>
    <t>Observações ou sugestões:</t>
  </si>
  <si>
    <t>CONCEITO DA PONTUAÇÃO A SER UTILIZADA EM TODOS OS ITENS</t>
  </si>
  <si>
    <t>MUITO BOM</t>
  </si>
  <si>
    <t>BOM</t>
  </si>
  <si>
    <t>REGULAR</t>
  </si>
  <si>
    <t>MÓDULOS</t>
  </si>
  <si>
    <t>ITENS AVALIADOS</t>
  </si>
  <si>
    <t>A1 - EFETIVO</t>
  </si>
  <si>
    <t>A2 - SUPERVISÃO</t>
  </si>
  <si>
    <t>A3 - UNIFORMES</t>
  </si>
  <si>
    <t>A4 - IDENTIFICAÇÃO</t>
  </si>
  <si>
    <t>A5 - TREINAMENTOS</t>
  </si>
  <si>
    <t>MÃO DE OBRA</t>
  </si>
  <si>
    <t>B1 - MANUTENÇÃO DE EQUIPAMENTOS</t>
  </si>
  <si>
    <t>B2 - ENTREGA DE MATERIAIS</t>
  </si>
  <si>
    <t>B3 - FORNECIMENTO DE EPI'S</t>
  </si>
  <si>
    <t>EQUIPAMENTOS MATERIAIS E EPI'S</t>
  </si>
  <si>
    <t>C1 - SERVIÇOS DE COPEIRAGEM</t>
  </si>
  <si>
    <t>C2 - SERVIÇOS DE LIMPEZA</t>
  </si>
  <si>
    <t>C3 - LIXEIRAS</t>
  </si>
  <si>
    <t>C4 - BANHEIROS</t>
  </si>
  <si>
    <t>C5 - SALAS</t>
  </si>
  <si>
    <t>EXECUÇÃO DOS SERVIÇOS</t>
  </si>
  <si>
    <t>D1 - RELATÓRIO MENSAL</t>
  </si>
  <si>
    <t>D2 - DOCUMENTÇAÃO DE ADMISSÃO, DEMISSÃO E DEMAIS SOLICITADOS</t>
  </si>
  <si>
    <t>DOCUMENTAÇÃO</t>
  </si>
  <si>
    <t>PÉSSIMO</t>
  </si>
  <si>
    <t>RESULTADO DA AVALIÇÃO DE QUALIDE AOS SERVIÇOS PRESTADOS</t>
  </si>
  <si>
    <t>PONTOS</t>
  </si>
  <si>
    <t>DESCRIÇÃO E CRITÉRIO DOS ITENS AVALIADOS</t>
  </si>
  <si>
    <t>MÓDULO A - MÃO DE OBRA</t>
  </si>
  <si>
    <t>A1 - EFETIVO (Supervisor e copeira)</t>
  </si>
  <si>
    <t>Utilizar o efetivo minimo estabelecido no Termo de Referencia;</t>
  </si>
  <si>
    <t>Deixar de utilizar o efetivo mínimo estabelecido no Termo de Referencia.</t>
  </si>
  <si>
    <t>Atender totalmente os requisitos b´scios de supervisão;</t>
  </si>
  <si>
    <t>Atender em parte os requisitos básicos de supervisão;</t>
  </si>
  <si>
    <t>Funcionários devidamente uniformizados conforme características definidos em contrato ou Termo de Referência</t>
  </si>
  <si>
    <t xml:space="preserve">Permitir a presença de empregado sem uniforme ou em desacordo com as especificações defididas em contrato ou Termo de Referência </t>
  </si>
  <si>
    <t>Funcionários devidmanete identificados;</t>
  </si>
  <si>
    <t>Permitir a presença de empregado sem identificação ou com identificação ilegível.</t>
  </si>
  <si>
    <t>Funcionários devidamente treinados de acordo com as exigências do Termo de Referência.</t>
  </si>
  <si>
    <t>Realizar em partes, os treinametnos exigidos, na forma e condições estabelecidas no Termo de Referência</t>
  </si>
  <si>
    <t>Manter empregado sem treinametno/ reciclagem exigida.</t>
  </si>
  <si>
    <t>MÓDULO B - EQUIPAMENTOS, MATERIAIS E EPI'S</t>
  </si>
  <si>
    <t>Substituir os equipamentos que apresentarem defeito e/ou rendimento insatisfatório, em até 24 (vinte e quatro) horas a contar da constatação feita pela empresa ou após a devida notificação;</t>
  </si>
  <si>
    <t>Substituir os equipamentos que apresentarem defeito e/ou rendimento insatisfatório, após 24 (vinte e quatro) horas e até 48 (quarenta e oito) horas a contar da constatação feita pela empresa ou após a devida notificação;</t>
  </si>
  <si>
    <t>Substituir os equipamentos que apresentarem defeito e/ou rendimento insatisfatório, após 48 (quarenta e oito) horas a contar da constatação feita pela empresa ou após a devida notificação;</t>
  </si>
  <si>
    <t>Deixar de substituir os equipamentos que apresentarem defeito e/ou rendimento insatisfatório;</t>
  </si>
  <si>
    <t>Entregar os materiais e produtos padronizados e em quantidade suficiente à execução dos serviços, na data estabelecida pela CONTRATANTE.</t>
  </si>
  <si>
    <t>Entregar os materiais e produtos padronizados e em quantidade suficiente à execução dos serviços, depois da data estabelecida pela CONTRATANTE.</t>
  </si>
  <si>
    <t>Deixar de entregar os materiais e produtos padronizados e em quantidade suficiente à execução dos serviços.</t>
  </si>
  <si>
    <t>Fornecer em parte EPI'S e EPC'S.</t>
  </si>
  <si>
    <t>Fornecer todos os EPI'S e EPC'S.</t>
  </si>
  <si>
    <t>Deixar de fornecer os EPI'S e EPC'S.</t>
  </si>
  <si>
    <t>MÓDULO C - EXECUÇÃO DOS SERVIÇOS</t>
  </si>
  <si>
    <t>Atender totalmente os requisitos básicos de copeiragem</t>
  </si>
  <si>
    <t>Atender em parte os requisitos básicos de copeiragem</t>
  </si>
  <si>
    <t>Não atender os requisitos básicos de copeiragem;</t>
  </si>
  <si>
    <t>Não atender os requisitos básicos de supervisão;</t>
  </si>
  <si>
    <t>Manter todos os locais limpos conforme definido em contráto e Termo de Referência</t>
  </si>
  <si>
    <t>Ocorrências isoladas de sujidades em locais previstos pelo contrato.</t>
  </si>
  <si>
    <t>Ocorrências diversas e reiteiradas de sujidades em locais previstos pelo contrato.</t>
  </si>
  <si>
    <r>
      <t xml:space="preserve">C3 - LIXEIRAS </t>
    </r>
    <r>
      <rPr>
        <sz val="11"/>
        <color theme="1"/>
        <rFont val="Calibri"/>
        <family val="2"/>
        <scheme val="minor"/>
      </rPr>
      <t>(</t>
    </r>
    <r>
      <rPr>
        <i/>
        <sz val="11"/>
        <color theme="1"/>
        <rFont val="Calibri"/>
        <family val="2"/>
        <scheme val="minor"/>
      </rPr>
      <t>*padrão: menos de 2/3 da capacidade</t>
    </r>
    <r>
      <rPr>
        <sz val="11"/>
        <color theme="1"/>
        <rFont val="Calibri"/>
        <family val="2"/>
        <scheme val="minor"/>
      </rPr>
      <t>)</t>
    </r>
  </si>
  <si>
    <t>Manter de 90% a 100% das lixeiras no padrão.</t>
  </si>
  <si>
    <t>Manter de 80% a 90% das lixeiras no padrão.</t>
  </si>
  <si>
    <t>Manter de 70% a 80% das lixeiras no padrão.</t>
  </si>
  <si>
    <t>Mnater menos de 70% das lixeiras no padrão.</t>
  </si>
  <si>
    <r>
      <t xml:space="preserve">C4 - BANHEIROS </t>
    </r>
    <r>
      <rPr>
        <sz val="11"/>
        <color theme="1"/>
        <rFont val="Calibri"/>
        <family val="2"/>
        <scheme val="minor"/>
      </rPr>
      <t>(</t>
    </r>
    <r>
      <rPr>
        <i/>
        <sz val="11"/>
        <color theme="1"/>
        <rFont val="Calibri"/>
        <family val="2"/>
        <scheme val="minor"/>
      </rPr>
      <t>*padrão: piso e pias limpas e secas; ambientes desodorizadoe e organizados, dispensers limpos e abastecidos</t>
    </r>
    <r>
      <rPr>
        <sz val="11"/>
        <color theme="1"/>
        <rFont val="Calibri"/>
        <family val="2"/>
        <scheme val="minor"/>
      </rPr>
      <t>)</t>
    </r>
  </si>
  <si>
    <t>Existência de menos de 75% de banheiros no padrão.</t>
  </si>
  <si>
    <t>Existência de 90% a 100% de banheiros no padrão.</t>
  </si>
  <si>
    <t>Existência de 85% a 89% de banheiros no padrão.</t>
  </si>
  <si>
    <t>Existência de 75% a 84% de banheiros no padrão.</t>
  </si>
  <si>
    <r>
      <t xml:space="preserve">C5 - SALAS </t>
    </r>
    <r>
      <rPr>
        <sz val="11"/>
        <color theme="1"/>
        <rFont val="Calibri"/>
        <family val="2"/>
        <scheme val="minor"/>
      </rPr>
      <t>(</t>
    </r>
    <r>
      <rPr>
        <i/>
        <sz val="11"/>
        <color theme="1"/>
        <rFont val="Calibri"/>
        <family val="2"/>
        <scheme val="minor"/>
      </rPr>
      <t>*padrão: piso limpo e seco, cadeiras devidamente na estação do funcionário, mesas organizadas e limpas</t>
    </r>
    <r>
      <rPr>
        <sz val="11"/>
        <color theme="1"/>
        <rFont val="Calibri"/>
        <family val="2"/>
        <scheme val="minor"/>
      </rPr>
      <t>)</t>
    </r>
  </si>
  <si>
    <t>Existência de 90% a 100% de salas no padrão.</t>
  </si>
  <si>
    <t>Existência de 85% a 89% de salas no padrão.</t>
  </si>
  <si>
    <t>Existência de 75% a 84% de salas no padrão.</t>
  </si>
  <si>
    <t>Existência de menos de 75% de salas no padrão.</t>
  </si>
  <si>
    <t>MÓDULO D - DOCUMENTAÇÃO</t>
  </si>
  <si>
    <t>Fornecer relatório técnico mensal contendo todos os itens solicitados no Termo de Referência.</t>
  </si>
  <si>
    <t>Fornecer Relatório Técnico mensal contendo em partes os itens solcitados no Termo de Referência.</t>
  </si>
  <si>
    <t>Deixar de fornecer relatórios técnicos mensal</t>
  </si>
  <si>
    <t>D2 - DOCUEMNTAÇÃO DE ADMISSÃO, DEMISSÃO E DEMAIS DOCUMENTOS SOLICITADOS</t>
  </si>
  <si>
    <t>Fornecer todos os documentos quando da admissão de novos funcionários e/ou demisssão; e documentos.</t>
  </si>
  <si>
    <t>Fornecer todos os documentos de admissão, porém deixasr de entregar docuemtnoos diversos solicitados, por exemplo, comprovante de depósito de FGTS, entre outros exigidos pelo Termo de Referência.</t>
  </si>
  <si>
    <t>Deixar de fornecer docuemtnos solicitados e documentoação de admissão e/ou demissão.</t>
  </si>
  <si>
    <t>PESO AVALIAÇÃO</t>
  </si>
  <si>
    <t>TOTAL POR MÓDULO</t>
  </si>
  <si>
    <t>MÓDULO</t>
  </si>
  <si>
    <t>MÁXIMO PONTUAÇÃO</t>
  </si>
  <si>
    <t>PERCENTUAL</t>
  </si>
  <si>
    <t>PERCENTUAL PAGO</t>
  </si>
  <si>
    <t>PONTUAÇÃO ATINGIDA</t>
  </si>
  <si>
    <t>TABELA DE DESCONTOS DO ACORDO DE NÍVEL DE SERVIÇO</t>
  </si>
  <si>
    <t>&gt;76,5</t>
  </si>
  <si>
    <t>Und c/ 500ml</t>
  </si>
  <si>
    <t>Esponjão verde amarela</t>
  </si>
  <si>
    <t>Copeira Extra</t>
  </si>
  <si>
    <t>Auxiliar de Serviços Gerais - Extra</t>
  </si>
  <si>
    <t>PLANILHA RESUMO - Mão de Obra</t>
  </si>
  <si>
    <t>PLANILHA RESUMO - Material/Equipamento</t>
  </si>
  <si>
    <t>Supervisor administrativo (Encarregado)</t>
  </si>
  <si>
    <r>
      <t xml:space="preserve">Transporte – Vale A [ </t>
    </r>
    <r>
      <rPr>
        <b/>
        <sz val="9"/>
        <color theme="1"/>
        <rFont val="Verdana"/>
        <family val="2"/>
      </rPr>
      <t>exemplo</t>
    </r>
    <r>
      <rPr>
        <sz val="9"/>
        <color theme="1"/>
        <rFont val="Verdana"/>
        <family val="2"/>
      </rPr>
      <t>: (menos 6% participação do empregado) VT = R$ 3,20 X 2 = 6,40 X 24dd =166,40 - 85,40 ( PART.Emprega  = R$ 42,20)].</t>
    </r>
  </si>
  <si>
    <t>Descrição do Benefício</t>
  </si>
  <si>
    <t>Vale Transporte</t>
  </si>
  <si>
    <t>Aux. Aliment.</t>
  </si>
  <si>
    <t>Cesta Básica</t>
  </si>
  <si>
    <t>Coberturas Sociais</t>
  </si>
  <si>
    <t>TOTAL M1 - Remuneração</t>
  </si>
  <si>
    <t>TOTAL M2 - Benefícios</t>
  </si>
  <si>
    <t>TOTAL M3 - Insumos Diversos</t>
  </si>
  <si>
    <t>TOTAL M4 - Encargos Sociais</t>
  </si>
  <si>
    <t>TOTAL M5 - BDI/Taxas</t>
  </si>
  <si>
    <t>Demanda mensal</t>
  </si>
  <si>
    <t>DEMANDA ANUAL</t>
  </si>
  <si>
    <t>VIDA UTIL EM MESES</t>
  </si>
  <si>
    <t>Utensílios</t>
  </si>
  <si>
    <t>Equipamentos</t>
  </si>
  <si>
    <t>cx c/ 5000</t>
  </si>
  <si>
    <t>Lucro Real</t>
  </si>
  <si>
    <t>Lucro Presumido</t>
  </si>
  <si>
    <t>Simples Nacional</t>
  </si>
  <si>
    <t>TRIBUTAÇÃO A QUAL ESTA SUJEITADA A EMPRESA</t>
  </si>
  <si>
    <t>As alíquotas dos Encargos Sociais, e dos Tributos, deverão, necessariamente, refletir o Regime de Tributação da empresa, devendo-se em todas as situações excluir o IR e a CSLL dos Tributos (Acórdão TCU N° 950/2007).</t>
  </si>
  <si>
    <t>Se optente pelo SIMPLES NACIONAL, informar somente os itens devidos</t>
  </si>
  <si>
    <t>Auxilio Odontológico</t>
  </si>
  <si>
    <t>Auxílio Odontológico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</si>
</sst>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R$&quot;\ * #,##0.00_-;\-&quot;R$&quot;\ * #,##0.00_-;_-&quot;R$&quot;\ * &quot;-&quot;??_-;_-@_-"/>
    <numFmt numFmtId="43" formatCode="_-* #,##0.00_-;\-* #,##0.00_-;_-* &quot;-&quot;??_-;_-@_-"/>
    <numFmt numFmtId="164" formatCode="_-* #,##0.0_-;\-* #,##0.0_-;_-* &quot;-&quot;??_-;_-@_-"/>
    <numFmt numFmtId="165" formatCode="&quot;R$&quot;\ #,##0.00"/>
    <numFmt numFmtId="166" formatCode="&quot;R$&quot;\ #,##0.00;[Red]\(&quot;R$&quot;\ #,##0.00\)"/>
    <numFmt numFmtId="167" formatCode="0.000%"/>
    <numFmt numFmtId="168" formatCode="_-* #,##0.0000_-;\-* #,##0.0000_-;_-* &quot;-&quot;??_-;_-@_-"/>
    <numFmt numFmtId="169" formatCode="_-[$R$-416]\ * #,##0.00_-;\-[$R$-416]\ * #,##0.00_-;_-[$R$-416]\ * &quot;-&quot;??_-;_-@_-"/>
    <numFmt numFmtId="170" formatCode="0.00_ ;[Red]\-0.00\ "/>
    <numFmt numFmtId="171" formatCode="_-* #,##0_-;\-* #,##0_-;_-* &quot;-&quot;??_-;_-@_-"/>
    <numFmt numFmtId="172" formatCode="_(* #,##0.00_);_(* \(#,##0.00\);_(* \-??_);_(@_)"/>
    <numFmt numFmtId="173" formatCode="0.00000E+00;\ࣸ"/>
    <numFmt numFmtId="174" formatCode="_(* #,##0_);_(* \(#,##0\);_(* \-??_);_(@_)"/>
    <numFmt numFmtId="175" formatCode="_(* #,##0.000000_);_(* \(#,##0.000000\);_(* \-??_);_(@_)"/>
    <numFmt numFmtId="176" formatCode="_(* #,##0.0000000_);_(* \(#,##0.0000000\);_(* \-??_);_(@_)"/>
    <numFmt numFmtId="177" formatCode="0.0"/>
    <numFmt numFmtId="178" formatCode="_-* #,##0.00000_-;\-* #,##0.00000_-;_-* &quot;-&quot;??_-;_-@_-"/>
    <numFmt numFmtId="179" formatCode="_-* #,##0.00000_-;\-* #,##0.00000_-;_-* &quot;-&quot;?????_-;_-@_-"/>
  </numFmts>
  <fonts count="63">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8"/>
      <color rgb="FF000000"/>
      <name val="Calibri"/>
      <family val="2"/>
      <scheme val="minor"/>
    </font>
    <font>
      <b/>
      <sz val="8"/>
      <color rgb="FF000000"/>
      <name val="Calibri"/>
      <family val="2"/>
      <scheme val="minor"/>
    </font>
    <font>
      <b/>
      <sz val="11"/>
      <color rgb="FF000000"/>
      <name val="Calibri"/>
      <family val="2"/>
      <scheme val="minor"/>
    </font>
    <font>
      <sz val="9"/>
      <color indexed="81"/>
      <name val="Tahoma"/>
      <family val="2"/>
    </font>
    <font>
      <b/>
      <sz val="9"/>
      <color indexed="81"/>
      <name val="Tahoma"/>
      <family val="2"/>
    </font>
    <font>
      <sz val="10"/>
      <color theme="1"/>
      <name val="Times New Roman"/>
      <family val="1"/>
    </font>
    <font>
      <sz val="11"/>
      <color theme="1"/>
      <name val="Calibri"/>
      <family val="2"/>
    </font>
    <font>
      <b/>
      <sz val="11"/>
      <color theme="1"/>
      <name val="Calibri"/>
      <family val="2"/>
    </font>
    <font>
      <b/>
      <sz val="12"/>
      <color theme="1"/>
      <name val="Calibri"/>
      <family val="2"/>
    </font>
    <font>
      <b/>
      <sz val="14"/>
      <color theme="1"/>
      <name val="Calibri"/>
      <family val="2"/>
    </font>
    <font>
      <b/>
      <sz val="11"/>
      <color rgb="FFFF0000"/>
      <name val="Calibri"/>
      <family val="2"/>
      <scheme val="minor"/>
    </font>
    <font>
      <b/>
      <sz val="10"/>
      <color theme="1"/>
      <name val="Verdana"/>
      <family val="2"/>
    </font>
    <font>
      <b/>
      <sz val="11"/>
      <color theme="3" tint="0.39997558519241921"/>
      <name val="Calibri"/>
      <family val="2"/>
      <scheme val="minor"/>
    </font>
    <font>
      <sz val="9"/>
      <color theme="1"/>
      <name val="Verdana"/>
      <family val="2"/>
    </font>
    <font>
      <sz val="11"/>
      <name val="Calibri"/>
      <family val="2"/>
      <scheme val="minor"/>
    </font>
    <font>
      <b/>
      <sz val="10"/>
      <color rgb="FFFF0000"/>
      <name val="Verdana"/>
      <family val="2"/>
    </font>
    <font>
      <strike/>
      <sz val="11"/>
      <color rgb="FFFF0000"/>
      <name val="Calibri"/>
      <family val="2"/>
      <scheme val="minor"/>
    </font>
    <font>
      <b/>
      <sz val="9"/>
      <color rgb="FF0000FF"/>
      <name val="Verdana"/>
      <family val="2"/>
    </font>
    <font>
      <b/>
      <sz val="9"/>
      <color indexed="8"/>
      <name val="Verdana"/>
      <family val="2"/>
    </font>
    <font>
      <b/>
      <sz val="9"/>
      <color theme="1"/>
      <name val="Verdana"/>
      <family val="2"/>
    </font>
    <font>
      <sz val="9"/>
      <color theme="1"/>
      <name val="Calibri"/>
      <family val="2"/>
      <scheme val="minor"/>
    </font>
    <font>
      <sz val="10"/>
      <color theme="1"/>
      <name val="Verdana"/>
      <family val="2"/>
    </font>
    <font>
      <b/>
      <sz val="11"/>
      <name val="Calibri"/>
      <family val="2"/>
      <scheme val="minor"/>
    </font>
    <font>
      <sz val="24"/>
      <color theme="1"/>
      <name val="Calibri"/>
      <family val="2"/>
      <scheme val="minor"/>
    </font>
    <font>
      <sz val="8"/>
      <color theme="1"/>
      <name val="Calibri"/>
      <family val="2"/>
      <scheme val="minor"/>
    </font>
    <font>
      <sz val="9"/>
      <color indexed="8"/>
      <name val="Verdana"/>
      <family val="2"/>
    </font>
    <font>
      <b/>
      <sz val="8"/>
      <name val="Calibri"/>
      <family val="2"/>
      <scheme val="minor"/>
    </font>
    <font>
      <sz val="11"/>
      <color rgb="FF000000"/>
      <name val="Calibri"/>
      <family val="2"/>
    </font>
    <font>
      <sz val="8"/>
      <name val="Calibri"/>
      <family val="2"/>
      <scheme val="minor"/>
    </font>
    <font>
      <sz val="10"/>
      <name val="Arial"/>
      <family val="2"/>
    </font>
    <font>
      <b/>
      <sz val="10"/>
      <color rgb="FF000000"/>
      <name val="Arial"/>
      <family val="2"/>
    </font>
    <font>
      <sz val="10"/>
      <color rgb="FF000000"/>
      <name val="Arial"/>
      <family val="2"/>
    </font>
    <font>
      <sz val="11"/>
      <color rgb="FF000000"/>
      <name val="Arial"/>
      <family val="2"/>
    </font>
    <font>
      <b/>
      <sz val="12"/>
      <color rgb="FF000000"/>
      <name val="Arial"/>
      <family val="2"/>
    </font>
    <font>
      <b/>
      <sz val="10"/>
      <name val="Calibri"/>
      <family val="2"/>
      <scheme val="minor"/>
    </font>
    <font>
      <b/>
      <sz val="11"/>
      <name val="Arial"/>
      <family val="2"/>
    </font>
    <font>
      <sz val="9"/>
      <name val="Arial"/>
      <family val="2"/>
    </font>
    <font>
      <sz val="10"/>
      <name val="Calibri"/>
      <family val="2"/>
      <scheme val="minor"/>
    </font>
    <font>
      <sz val="11"/>
      <color indexed="8"/>
      <name val="Calibri"/>
      <family val="2"/>
    </font>
    <font>
      <b/>
      <sz val="10"/>
      <color indexed="12"/>
      <name val="Century"/>
      <family val="1"/>
    </font>
    <font>
      <sz val="10"/>
      <name val="Stylus BT"/>
      <family val="2"/>
    </font>
    <font>
      <b/>
      <sz val="10"/>
      <color indexed="10"/>
      <name val="Arial"/>
      <family val="2"/>
    </font>
    <font>
      <b/>
      <sz val="10"/>
      <color indexed="10"/>
      <name val="Stylus BT"/>
      <family val="2"/>
    </font>
    <font>
      <b/>
      <sz val="10"/>
      <name val="Stylus BT"/>
      <family val="2"/>
    </font>
    <font>
      <b/>
      <sz val="12"/>
      <name val="Calibri"/>
      <family val="2"/>
      <scheme val="minor"/>
    </font>
    <font>
      <sz val="8"/>
      <name val="Arial"/>
      <family val="2"/>
    </font>
    <font>
      <b/>
      <sz val="10"/>
      <name val="Arial"/>
      <family val="2"/>
    </font>
    <font>
      <b/>
      <sz val="8"/>
      <name val="Arial"/>
      <family val="2"/>
    </font>
    <font>
      <b/>
      <u/>
      <sz val="10"/>
      <name val="Arial"/>
      <family val="2"/>
    </font>
    <font>
      <sz val="10"/>
      <color indexed="9"/>
      <name val="Arial"/>
      <family val="2"/>
    </font>
    <font>
      <sz val="11"/>
      <color theme="3" tint="0.39997558519241921"/>
      <name val="Calibri"/>
      <family val="2"/>
      <scheme val="minor"/>
    </font>
    <font>
      <i/>
      <sz val="11"/>
      <color theme="1"/>
      <name val="Calibri"/>
      <family val="2"/>
      <scheme val="minor"/>
    </font>
    <font>
      <sz val="11"/>
      <color rgb="FFFF0000"/>
      <name val="Calibri"/>
      <family val="2"/>
      <scheme val="minor"/>
    </font>
    <font>
      <sz val="9"/>
      <color indexed="81"/>
      <name val="Segoe UI"/>
      <family val="2"/>
    </font>
    <font>
      <b/>
      <sz val="9"/>
      <color indexed="81"/>
      <name val="Segoe UI"/>
      <family val="2"/>
    </font>
    <font>
      <sz val="11"/>
      <color theme="0" tint="-0.34998626667073579"/>
      <name val="Calibri"/>
      <family val="2"/>
      <scheme val="minor"/>
    </font>
    <font>
      <b/>
      <sz val="10"/>
      <color theme="0"/>
      <name val="Verdana"/>
      <family val="2"/>
    </font>
    <font>
      <sz val="8"/>
      <color theme="0"/>
      <name val="Verdana"/>
      <family val="2"/>
    </font>
    <font>
      <b/>
      <sz val="9"/>
      <color theme="0"/>
      <name val="Verdana"/>
      <family val="2"/>
    </font>
  </fonts>
  <fills count="25">
    <fill>
      <patternFill patternType="none"/>
    </fill>
    <fill>
      <patternFill patternType="gray125"/>
    </fill>
    <fill>
      <patternFill patternType="solid">
        <fgColor rgb="FFD9D9D9"/>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indexed="65"/>
        <bgColor indexed="64"/>
      </patternFill>
    </fill>
    <fill>
      <patternFill patternType="solid">
        <fgColor rgb="FFFFFFFF"/>
        <bgColor rgb="FF000000"/>
      </patternFill>
    </fill>
    <fill>
      <patternFill patternType="solid">
        <fgColor theme="3" tint="0.79998168889431442"/>
        <bgColor rgb="FF000000"/>
      </patternFill>
    </fill>
    <fill>
      <patternFill patternType="solid">
        <fgColor indexed="9"/>
        <bgColor indexed="26"/>
      </patternFill>
    </fill>
    <fill>
      <patternFill patternType="solid">
        <fgColor indexed="43"/>
        <bgColor indexed="26"/>
      </patternFill>
    </fill>
    <fill>
      <patternFill patternType="solid">
        <fgColor indexed="27"/>
        <bgColor indexed="41"/>
      </patternFill>
    </fill>
    <fill>
      <patternFill patternType="solid">
        <fgColor indexed="22"/>
        <bgColor indexed="31"/>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s>
  <borders count="81">
    <border>
      <left/>
      <right/>
      <top/>
      <bottom/>
      <diagonal/>
    </border>
    <border>
      <left/>
      <right/>
      <top/>
      <bottom style="medium">
        <color rgb="FF000000"/>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1" fillId="0" borderId="0"/>
    <xf numFmtId="0" fontId="1" fillId="0" borderId="0"/>
    <xf numFmtId="9" fontId="33" fillId="0" borderId="0" applyFont="0" applyFill="0" applyBorder="0" applyAlignment="0" applyProtection="0"/>
    <xf numFmtId="9" fontId="42" fillId="0" borderId="0" applyFont="0" applyFill="0" applyBorder="0" applyAlignment="0" applyProtection="0"/>
  </cellStyleXfs>
  <cellXfs count="722">
    <xf numFmtId="0" fontId="0" fillId="0" borderId="0" xfId="0"/>
    <xf numFmtId="0" fontId="0" fillId="0" borderId="0" xfId="0" applyBorder="1"/>
    <xf numFmtId="0" fontId="0" fillId="0" borderId="0" xfId="0" applyFont="1" applyBorder="1"/>
    <xf numFmtId="43" fontId="0" fillId="0" borderId="0" xfId="1" applyFont="1" applyBorder="1"/>
    <xf numFmtId="0" fontId="2" fillId="0" borderId="0" xfId="0" applyFont="1" applyBorder="1" applyAlignment="1">
      <alignment horizontal="center" vertical="center" wrapText="1"/>
    </xf>
    <xf numFmtId="43" fontId="0" fillId="0" borderId="0" xfId="1" applyFont="1"/>
    <xf numFmtId="164" fontId="0" fillId="0" borderId="0" xfId="1" applyNumberFormat="1" applyFont="1"/>
    <xf numFmtId="0" fontId="2" fillId="0" borderId="0" xfId="0" applyFont="1"/>
    <xf numFmtId="0" fontId="2" fillId="0" borderId="0" xfId="0" applyFont="1" applyAlignment="1">
      <alignment horizontal="center" vertical="center"/>
    </xf>
    <xf numFmtId="0" fontId="0" fillId="0" borderId="0" xfId="0" applyProtection="1"/>
    <xf numFmtId="4" fontId="14" fillId="0" borderId="0" xfId="0" applyNumberFormat="1" applyFont="1" applyProtection="1"/>
    <xf numFmtId="0" fontId="15" fillId="0" borderId="11" xfId="0" applyFont="1" applyBorder="1" applyAlignment="1" applyProtection="1">
      <alignment horizontal="center" vertical="center"/>
    </xf>
    <xf numFmtId="0" fontId="2" fillId="3" borderId="11" xfId="0" applyNumberFormat="1" applyFont="1" applyFill="1" applyBorder="1" applyAlignment="1" applyProtection="1">
      <alignment horizontal="center" vertical="center"/>
    </xf>
    <xf numFmtId="0" fontId="2" fillId="0" borderId="11" xfId="0" applyNumberFormat="1" applyFont="1" applyBorder="1" applyAlignment="1" applyProtection="1">
      <alignment horizontal="center" vertical="center"/>
    </xf>
    <xf numFmtId="0" fontId="0" fillId="0" borderId="0" xfId="0" applyAlignment="1" applyProtection="1">
      <alignment vertical="top"/>
    </xf>
    <xf numFmtId="0" fontId="23" fillId="0" borderId="19" xfId="0" applyFont="1" applyBorder="1" applyAlignment="1" applyProtection="1">
      <alignment horizontal="center" vertical="center"/>
    </xf>
    <xf numFmtId="0" fontId="17" fillId="0" borderId="19" xfId="0" applyFont="1" applyBorder="1" applyAlignment="1" applyProtection="1">
      <alignment horizontal="center" vertical="center"/>
    </xf>
    <xf numFmtId="0" fontId="23" fillId="0" borderId="0" xfId="0" applyFont="1" applyBorder="1" applyAlignment="1" applyProtection="1">
      <alignment horizontal="center" vertical="center"/>
    </xf>
    <xf numFmtId="165" fontId="0" fillId="0" borderId="12" xfId="0" applyNumberFormat="1" applyBorder="1" applyAlignment="1" applyProtection="1">
      <alignment vertical="center"/>
    </xf>
    <xf numFmtId="165" fontId="24" fillId="0" borderId="12" xfId="0" applyNumberFormat="1" applyFont="1" applyBorder="1" applyAlignment="1" applyProtection="1">
      <alignment vertical="center"/>
    </xf>
    <xf numFmtId="166" fontId="24" fillId="0" borderId="11" xfId="0" applyNumberFormat="1" applyFont="1" applyFill="1" applyBorder="1" applyAlignment="1" applyProtection="1">
      <alignment vertical="center" wrapText="1"/>
    </xf>
    <xf numFmtId="165" fontId="24" fillId="0" borderId="11" xfId="0" applyNumberFormat="1" applyFont="1" applyFill="1" applyBorder="1" applyAlignment="1" applyProtection="1">
      <alignment vertical="center"/>
    </xf>
    <xf numFmtId="165" fontId="0" fillId="0" borderId="11" xfId="0" applyNumberFormat="1" applyFill="1" applyBorder="1" applyAlignment="1" applyProtection="1">
      <alignment horizontal="center" vertical="center"/>
    </xf>
    <xf numFmtId="0" fontId="25" fillId="0" borderId="19" xfId="0" applyFont="1" applyBorder="1" applyAlignment="1" applyProtection="1">
      <alignment horizontal="center" vertical="center"/>
    </xf>
    <xf numFmtId="0" fontId="23" fillId="0" borderId="19" xfId="0" applyFont="1" applyBorder="1" applyProtection="1"/>
    <xf numFmtId="0" fontId="17" fillId="0" borderId="23" xfId="0" applyFont="1" applyBorder="1" applyAlignment="1" applyProtection="1">
      <alignment horizontal="center" vertical="center"/>
    </xf>
    <xf numFmtId="43" fontId="0" fillId="0" borderId="0" xfId="1" applyFont="1" applyProtection="1"/>
    <xf numFmtId="49" fontId="0" fillId="0" borderId="0" xfId="0" applyNumberFormat="1" applyProtection="1"/>
    <xf numFmtId="167" fontId="0" fillId="0" borderId="0" xfId="3" applyNumberFormat="1" applyFont="1" applyProtection="1"/>
    <xf numFmtId="0" fontId="17" fillId="0" borderId="8" xfId="0" applyFont="1" applyFill="1" applyBorder="1" applyAlignment="1" applyProtection="1">
      <alignment horizontal="center" vertical="center"/>
    </xf>
    <xf numFmtId="0" fontId="0" fillId="0" borderId="24" xfId="0" applyBorder="1" applyProtection="1"/>
    <xf numFmtId="165" fontId="0" fillId="0" borderId="11" xfId="0" applyNumberFormat="1" applyBorder="1" applyProtection="1"/>
    <xf numFmtId="165" fontId="0" fillId="0" borderId="11" xfId="0" applyNumberFormat="1" applyFill="1" applyBorder="1" applyProtection="1"/>
    <xf numFmtId="165" fontId="14" fillId="0" borderId="11" xfId="0" applyNumberFormat="1" applyFont="1" applyBorder="1" applyProtection="1"/>
    <xf numFmtId="44" fontId="0" fillId="0" borderId="0" xfId="2" applyFont="1" applyProtection="1"/>
    <xf numFmtId="0" fontId="23" fillId="0" borderId="11" xfId="0" applyNumberFormat="1" applyFont="1" applyBorder="1" applyAlignment="1" applyProtection="1">
      <alignment horizontal="center" vertical="center"/>
    </xf>
    <xf numFmtId="0" fontId="23" fillId="0" borderId="19" xfId="0" applyFont="1" applyFill="1" applyBorder="1" applyAlignment="1" applyProtection="1">
      <alignment horizontal="center" vertical="center"/>
    </xf>
    <xf numFmtId="0" fontId="0" fillId="0" borderId="25" xfId="0" applyBorder="1" applyProtection="1"/>
    <xf numFmtId="168" fontId="0" fillId="0" borderId="0" xfId="1" applyNumberFormat="1" applyFont="1" applyBorder="1" applyProtection="1"/>
    <xf numFmtId="165" fontId="0" fillId="0" borderId="0" xfId="0" applyNumberFormat="1" applyProtection="1"/>
    <xf numFmtId="0" fontId="2" fillId="10" borderId="11" xfId="0" applyFont="1" applyFill="1" applyBorder="1" applyAlignment="1" applyProtection="1">
      <alignment horizontal="center" vertical="center"/>
    </xf>
    <xf numFmtId="0" fontId="26" fillId="0" borderId="11" xfId="0" applyFont="1" applyBorder="1" applyAlignment="1" applyProtection="1">
      <alignment horizontal="center" vertical="center"/>
    </xf>
    <xf numFmtId="165" fontId="26" fillId="0" borderId="11" xfId="0" applyNumberFormat="1" applyFont="1" applyBorder="1" applyAlignment="1" applyProtection="1">
      <alignment horizontal="center" vertical="center"/>
    </xf>
    <xf numFmtId="165" fontId="0" fillId="0" borderId="29" xfId="0" applyNumberFormat="1" applyBorder="1" applyProtection="1"/>
    <xf numFmtId="0" fontId="0" fillId="0" borderId="30" xfId="0" applyBorder="1" applyProtection="1"/>
    <xf numFmtId="0" fontId="4" fillId="13" borderId="0" xfId="4" applyFont="1" applyFill="1" applyAlignment="1">
      <alignment horizontal="center"/>
    </xf>
    <xf numFmtId="169" fontId="4" fillId="13" borderId="0" xfId="2" applyNumberFormat="1" applyFont="1" applyFill="1"/>
    <xf numFmtId="0" fontId="4" fillId="0" borderId="0" xfId="4" applyFont="1"/>
    <xf numFmtId="0" fontId="28" fillId="0" borderId="0" xfId="5" applyFont="1"/>
    <xf numFmtId="0" fontId="30" fillId="11" borderId="9" xfId="5" applyFont="1" applyFill="1" applyBorder="1" applyAlignment="1">
      <alignment horizontal="center"/>
    </xf>
    <xf numFmtId="0" fontId="30" fillId="11" borderId="10" xfId="5" applyFont="1" applyFill="1" applyBorder="1" applyAlignment="1">
      <alignment horizontal="center"/>
    </xf>
    <xf numFmtId="0" fontId="32" fillId="0" borderId="9" xfId="5" applyFont="1" applyBorder="1" applyAlignment="1">
      <alignment horizontal="center" vertical="center"/>
    </xf>
    <xf numFmtId="0" fontId="30" fillId="0" borderId="9" xfId="5" applyFont="1" applyBorder="1" applyAlignment="1">
      <alignment horizontal="center" vertical="center"/>
    </xf>
    <xf numFmtId="10" fontId="30" fillId="0" borderId="10" xfId="5" applyNumberFormat="1" applyFont="1" applyFill="1" applyBorder="1" applyAlignment="1">
      <alignment horizontal="center"/>
    </xf>
    <xf numFmtId="10" fontId="32" fillId="0" borderId="10" xfId="5" applyNumberFormat="1" applyFont="1" applyFill="1" applyBorder="1" applyAlignment="1">
      <alignment horizontal="center"/>
    </xf>
    <xf numFmtId="10" fontId="30" fillId="8" borderId="11" xfId="6" applyNumberFormat="1" applyFont="1" applyFill="1" applyBorder="1" applyAlignment="1">
      <alignment horizontal="center" vertical="center"/>
    </xf>
    <xf numFmtId="0" fontId="28" fillId="5" borderId="0" xfId="5" applyFont="1" applyFill="1"/>
    <xf numFmtId="0" fontId="30" fillId="5" borderId="0" xfId="5" applyFont="1" applyFill="1"/>
    <xf numFmtId="0" fontId="32" fillId="5" borderId="0" xfId="5" applyFont="1" applyFill="1" applyAlignment="1">
      <alignment horizontal="right"/>
    </xf>
    <xf numFmtId="0" fontId="32" fillId="5" borderId="0" xfId="5" applyFont="1" applyFill="1"/>
    <xf numFmtId="0" fontId="35" fillId="0" borderId="0" xfId="0" applyFont="1" applyAlignment="1">
      <alignment vertical="center"/>
    </xf>
    <xf numFmtId="49" fontId="34" fillId="12" borderId="31" xfId="0" applyNumberFormat="1" applyFont="1" applyFill="1" applyBorder="1" applyAlignment="1">
      <alignment horizontal="center" vertical="center" wrapText="1"/>
    </xf>
    <xf numFmtId="4" fontId="34" fillId="12" borderId="31" xfId="0" applyNumberFormat="1" applyFont="1" applyFill="1" applyBorder="1" applyAlignment="1">
      <alignment horizontal="center" vertical="center" wrapText="1"/>
    </xf>
    <xf numFmtId="44" fontId="35" fillId="0" borderId="31" xfId="2" applyFont="1" applyBorder="1" applyAlignment="1">
      <alignment vertical="center"/>
    </xf>
    <xf numFmtId="0" fontId="36" fillId="13" borderId="0" xfId="4" applyFont="1" applyFill="1" applyAlignment="1">
      <alignment horizontal="center"/>
    </xf>
    <xf numFmtId="169" fontId="36" fillId="13" borderId="0" xfId="2" applyNumberFormat="1" applyFont="1" applyFill="1"/>
    <xf numFmtId="0" fontId="36" fillId="0" borderId="0" xfId="4" applyFont="1"/>
    <xf numFmtId="0" fontId="36" fillId="13" borderId="1" xfId="4" applyFont="1" applyFill="1" applyBorder="1" applyAlignment="1">
      <alignment horizontal="center"/>
    </xf>
    <xf numFmtId="169" fontId="36" fillId="13" borderId="1" xfId="2" applyNumberFormat="1" applyFont="1" applyFill="1" applyBorder="1"/>
    <xf numFmtId="44" fontId="36" fillId="0" borderId="0" xfId="2" applyFont="1"/>
    <xf numFmtId="0" fontId="1" fillId="0" borderId="0" xfId="5"/>
    <xf numFmtId="0" fontId="38" fillId="11" borderId="32" xfId="5" applyFont="1" applyFill="1" applyBorder="1" applyAlignment="1">
      <alignment horizontal="center" vertical="center" wrapText="1"/>
    </xf>
    <xf numFmtId="0" fontId="39" fillId="0" borderId="0" xfId="5" applyFont="1" applyFill="1" applyBorder="1" applyAlignment="1">
      <alignment vertical="center"/>
    </xf>
    <xf numFmtId="4" fontId="40" fillId="0" borderId="0" xfId="5" applyNumberFormat="1" applyFont="1" applyFill="1" applyAlignment="1">
      <alignment horizontal="left" vertical="center"/>
    </xf>
    <xf numFmtId="0" fontId="40" fillId="0" borderId="0" xfId="5" applyFont="1" applyFill="1" applyAlignment="1">
      <alignment horizontal="left" vertical="center"/>
    </xf>
    <xf numFmtId="0" fontId="41" fillId="0" borderId="35" xfId="5" applyFont="1" applyBorder="1" applyAlignment="1">
      <alignment horizontal="center" vertical="center" wrapText="1"/>
    </xf>
    <xf numFmtId="0" fontId="41" fillId="0" borderId="36" xfId="5" applyFont="1" applyBorder="1" applyAlignment="1">
      <alignment vertical="center" wrapText="1"/>
    </xf>
    <xf numFmtId="10" fontId="41" fillId="0" borderId="36" xfId="7" applyNumberFormat="1" applyFont="1" applyBorder="1" applyAlignment="1">
      <alignment vertical="center" wrapText="1"/>
    </xf>
    <xf numFmtId="10" fontId="41" fillId="0" borderId="37" xfId="7" applyNumberFormat="1" applyFont="1" applyBorder="1" applyAlignment="1">
      <alignment vertical="center" wrapText="1"/>
    </xf>
    <xf numFmtId="0" fontId="43" fillId="0" borderId="0" xfId="5" applyFont="1" applyAlignment="1">
      <alignment vertical="center" wrapText="1"/>
    </xf>
    <xf numFmtId="0" fontId="44" fillId="0" borderId="0" xfId="5" applyFont="1" applyAlignment="1">
      <alignment vertical="center" wrapText="1"/>
    </xf>
    <xf numFmtId="10" fontId="44" fillId="0" borderId="0" xfId="5" applyNumberFormat="1" applyFont="1" applyAlignment="1">
      <alignment vertical="center" wrapText="1"/>
    </xf>
    <xf numFmtId="0" fontId="45" fillId="0" borderId="0" xfId="5" quotePrefix="1" applyFont="1" applyAlignment="1">
      <alignment vertical="center" wrapText="1"/>
    </xf>
    <xf numFmtId="170" fontId="44" fillId="0" borderId="0" xfId="5" applyNumberFormat="1" applyFont="1" applyAlignment="1">
      <alignment vertical="center" wrapText="1"/>
    </xf>
    <xf numFmtId="0" fontId="45" fillId="0" borderId="0" xfId="5" applyFont="1" applyAlignment="1">
      <alignment vertical="center" wrapText="1"/>
    </xf>
    <xf numFmtId="0" fontId="46" fillId="0" borderId="0" xfId="5" applyFont="1" applyAlignment="1">
      <alignment vertical="center" wrapText="1"/>
    </xf>
    <xf numFmtId="0" fontId="38" fillId="11" borderId="35" xfId="5" applyFont="1" applyFill="1" applyBorder="1" applyAlignment="1">
      <alignment horizontal="center" vertical="center"/>
    </xf>
    <xf numFmtId="10" fontId="38" fillId="11" borderId="36" xfId="7" applyNumberFormat="1" applyFont="1" applyFill="1" applyBorder="1" applyAlignment="1">
      <alignment vertical="center"/>
    </xf>
    <xf numFmtId="10" fontId="38" fillId="11" borderId="37" xfId="7" applyNumberFormat="1" applyFont="1" applyFill="1" applyBorder="1" applyAlignment="1">
      <alignment vertical="center"/>
    </xf>
    <xf numFmtId="0" fontId="47" fillId="0" borderId="0" xfId="5" applyFont="1" applyFill="1" applyAlignment="1">
      <alignment vertical="center"/>
    </xf>
    <xf numFmtId="0" fontId="44" fillId="0" borderId="0" xfId="5" applyFont="1" applyFill="1" applyAlignment="1">
      <alignment vertical="center"/>
    </xf>
    <xf numFmtId="10" fontId="44" fillId="0" borderId="0" xfId="5" applyNumberFormat="1" applyFont="1" applyFill="1" applyAlignment="1">
      <alignment vertical="center"/>
    </xf>
    <xf numFmtId="0" fontId="41" fillId="0" borderId="36" xfId="5" applyFont="1" applyBorder="1" applyAlignment="1">
      <alignment horizontal="justify" vertical="center" wrapText="1"/>
    </xf>
    <xf numFmtId="0" fontId="38" fillId="11" borderId="36" xfId="5" applyFont="1" applyFill="1" applyBorder="1" applyAlignment="1">
      <alignment vertical="center" wrapText="1"/>
    </xf>
    <xf numFmtId="0" fontId="38" fillId="8" borderId="38" xfId="5" applyFont="1" applyFill="1" applyBorder="1" applyAlignment="1">
      <alignment vertical="center"/>
    </xf>
    <xf numFmtId="0" fontId="44" fillId="5" borderId="0" xfId="5" applyFont="1" applyFill="1" applyAlignment="1">
      <alignment vertical="center"/>
    </xf>
    <xf numFmtId="10" fontId="44" fillId="5" borderId="0" xfId="5" applyNumberFormat="1" applyFont="1" applyFill="1" applyAlignment="1">
      <alignment vertical="center"/>
    </xf>
    <xf numFmtId="0" fontId="1" fillId="0" borderId="0" xfId="5" applyFont="1" applyAlignment="1">
      <alignment vertical="center" wrapText="1"/>
    </xf>
    <xf numFmtId="10" fontId="1" fillId="0" borderId="0" xfId="5" applyNumberFormat="1" applyFont="1" applyAlignment="1">
      <alignment vertical="center" wrapText="1"/>
    </xf>
    <xf numFmtId="0" fontId="1" fillId="0" borderId="0" xfId="5" applyAlignment="1">
      <alignment vertical="center" wrapText="1"/>
    </xf>
    <xf numFmtId="10" fontId="1" fillId="0" borderId="0" xfId="5" applyNumberFormat="1" applyAlignment="1">
      <alignment vertical="center" wrapText="1"/>
    </xf>
    <xf numFmtId="10" fontId="1" fillId="0" borderId="0" xfId="5" applyNumberFormat="1" applyFont="1" applyAlignment="1">
      <alignment horizontal="center" vertical="center" wrapText="1"/>
    </xf>
    <xf numFmtId="0" fontId="1" fillId="0" borderId="0" xfId="5" applyAlignment="1">
      <alignment horizontal="center" vertical="center" wrapText="1"/>
    </xf>
    <xf numFmtId="49" fontId="30" fillId="5" borderId="22" xfId="5" applyNumberFormat="1" applyFont="1" applyFill="1" applyBorder="1" applyAlignment="1">
      <alignment vertical="center" wrapText="1"/>
    </xf>
    <xf numFmtId="0" fontId="32" fillId="0" borderId="9" xfId="5" applyFont="1" applyBorder="1" applyAlignment="1"/>
    <xf numFmtId="0" fontId="30" fillId="11" borderId="12" xfId="5" applyFont="1" applyFill="1" applyBorder="1" applyAlignment="1"/>
    <xf numFmtId="0" fontId="32" fillId="0" borderId="12" xfId="5" applyFont="1" applyBorder="1" applyAlignment="1"/>
    <xf numFmtId="0" fontId="30" fillId="0" borderId="12" xfId="5" applyFont="1" applyBorder="1" applyAlignment="1"/>
    <xf numFmtId="0" fontId="32" fillId="0" borderId="10" xfId="5" applyFont="1" applyBorder="1" applyAlignment="1"/>
    <xf numFmtId="0" fontId="30" fillId="8" borderId="12" xfId="5" applyFont="1" applyFill="1" applyBorder="1" applyAlignment="1">
      <alignment vertical="center" wrapText="1"/>
    </xf>
    <xf numFmtId="0" fontId="30" fillId="8" borderId="9" xfId="5" applyFont="1" applyFill="1" applyBorder="1" applyAlignment="1">
      <alignment vertical="center" wrapText="1"/>
    </xf>
    <xf numFmtId="0" fontId="32" fillId="5" borderId="0" xfId="5" applyFont="1" applyFill="1" applyAlignment="1"/>
    <xf numFmtId="0" fontId="32" fillId="0" borderId="12" xfId="5" applyFont="1" applyBorder="1" applyAlignment="1">
      <alignment horizontal="right"/>
    </xf>
    <xf numFmtId="44" fontId="0" fillId="0" borderId="0" xfId="2" applyFont="1"/>
    <xf numFmtId="0" fontId="49" fillId="15" borderId="0" xfId="0" applyFont="1" applyFill="1"/>
    <xf numFmtId="0" fontId="50" fillId="0" borderId="42" xfId="0" applyFont="1" applyBorder="1" applyAlignment="1">
      <alignment vertical="center"/>
    </xf>
    <xf numFmtId="0" fontId="49" fillId="15" borderId="0" xfId="0" applyFont="1" applyFill="1" applyBorder="1"/>
    <xf numFmtId="0" fontId="49" fillId="15" borderId="43" xfId="0" applyFont="1" applyFill="1" applyBorder="1"/>
    <xf numFmtId="0" fontId="50" fillId="17" borderId="41" xfId="0" applyFont="1" applyFill="1" applyBorder="1" applyAlignment="1">
      <alignment horizontal="center" vertical="center"/>
    </xf>
    <xf numFmtId="0" fontId="50" fillId="18" borderId="45" xfId="0" applyFont="1" applyFill="1" applyBorder="1" applyAlignment="1">
      <alignment vertical="center"/>
    </xf>
    <xf numFmtId="43" fontId="0" fillId="0" borderId="46" xfId="1" applyFont="1" applyFill="1" applyBorder="1" applyAlignment="1" applyProtection="1"/>
    <xf numFmtId="0" fontId="50" fillId="18" borderId="44" xfId="0" applyFont="1" applyFill="1" applyBorder="1" applyAlignment="1">
      <alignment vertical="center"/>
    </xf>
    <xf numFmtId="43" fontId="0" fillId="0" borderId="48" xfId="1" applyFont="1" applyFill="1" applyBorder="1" applyAlignment="1" applyProtection="1"/>
    <xf numFmtId="172" fontId="0" fillId="0" borderId="49" xfId="0" applyNumberFormat="1" applyBorder="1"/>
    <xf numFmtId="0" fontId="50" fillId="18" borderId="50" xfId="0" applyFont="1" applyFill="1" applyBorder="1" applyAlignment="1">
      <alignment vertical="center"/>
    </xf>
    <xf numFmtId="43" fontId="0" fillId="0" borderId="51" xfId="1" applyFont="1" applyFill="1" applyBorder="1" applyAlignment="1" applyProtection="1"/>
    <xf numFmtId="172" fontId="0" fillId="0" borderId="52" xfId="0" applyNumberFormat="1" applyBorder="1"/>
    <xf numFmtId="0" fontId="0" fillId="15" borderId="0" xfId="0" applyFill="1"/>
    <xf numFmtId="0" fontId="52" fillId="15" borderId="53" xfId="0" applyFont="1" applyFill="1" applyBorder="1" applyAlignment="1" applyProtection="1">
      <alignment horizontal="left"/>
    </xf>
    <xf numFmtId="0" fontId="49" fillId="15" borderId="54" xfId="0" applyFont="1" applyFill="1" applyBorder="1"/>
    <xf numFmtId="0" fontId="0" fillId="15" borderId="54" xfId="0" applyFill="1" applyBorder="1"/>
    <xf numFmtId="0" fontId="0" fillId="0" borderId="55" xfId="0" applyBorder="1"/>
    <xf numFmtId="0" fontId="0" fillId="15" borderId="56" xfId="0" applyFill="1" applyBorder="1"/>
    <xf numFmtId="0" fontId="0" fillId="15" borderId="0" xfId="0" applyFill="1" applyBorder="1"/>
    <xf numFmtId="0" fontId="50" fillId="15" borderId="56" xfId="0" applyFont="1" applyFill="1" applyBorder="1" applyAlignment="1" applyProtection="1">
      <alignment horizontal="left"/>
    </xf>
    <xf numFmtId="0" fontId="0" fillId="15" borderId="57" xfId="0" applyFill="1" applyBorder="1"/>
    <xf numFmtId="0" fontId="0" fillId="0" borderId="56" xfId="0" applyBorder="1"/>
    <xf numFmtId="0" fontId="0" fillId="15" borderId="58" xfId="0" applyFont="1" applyFill="1" applyBorder="1" applyAlignment="1" applyProtection="1">
      <alignment horizontal="left"/>
    </xf>
    <xf numFmtId="0" fontId="0" fillId="15" borderId="59" xfId="0" applyFill="1" applyBorder="1"/>
    <xf numFmtId="0" fontId="0" fillId="15" borderId="60" xfId="0" applyFill="1" applyBorder="1"/>
    <xf numFmtId="0" fontId="50" fillId="0" borderId="0" xfId="0" applyFont="1"/>
    <xf numFmtId="0" fontId="50" fillId="18" borderId="48" xfId="0" applyFont="1" applyFill="1" applyBorder="1" applyAlignment="1">
      <alignment vertical="center"/>
    </xf>
    <xf numFmtId="0" fontId="49" fillId="15" borderId="0" xfId="0" applyFont="1" applyFill="1" applyProtection="1"/>
    <xf numFmtId="0" fontId="0" fillId="17" borderId="61" xfId="0" applyFont="1" applyFill="1" applyBorder="1" applyAlignment="1">
      <alignment horizontal="center" vertical="center"/>
    </xf>
    <xf numFmtId="0" fontId="0" fillId="17" borderId="61" xfId="0" applyFont="1" applyFill="1" applyBorder="1" applyAlignment="1">
      <alignment horizontal="center" vertical="center" wrapText="1"/>
    </xf>
    <xf numFmtId="0" fontId="50" fillId="18" borderId="62" xfId="0" applyFont="1" applyFill="1" applyBorder="1" applyAlignment="1">
      <alignment vertical="center"/>
    </xf>
    <xf numFmtId="0" fontId="50" fillId="18" borderId="63" xfId="0" applyFont="1" applyFill="1" applyBorder="1"/>
    <xf numFmtId="0" fontId="50" fillId="18" borderId="64" xfId="0" applyFont="1" applyFill="1" applyBorder="1"/>
    <xf numFmtId="0" fontId="0" fillId="18" borderId="45" xfId="0" applyFont="1" applyFill="1" applyBorder="1" applyAlignment="1">
      <alignment vertical="center"/>
    </xf>
    <xf numFmtId="0" fontId="0" fillId="0" borderId="46" xfId="0" applyBorder="1"/>
    <xf numFmtId="172" fontId="0" fillId="0" borderId="46" xfId="0" applyNumberFormat="1" applyBorder="1"/>
    <xf numFmtId="173" fontId="0" fillId="0" borderId="46" xfId="0" applyNumberFormat="1" applyBorder="1"/>
    <xf numFmtId="0" fontId="0" fillId="17" borderId="65" xfId="0" applyFill="1" applyBorder="1"/>
    <xf numFmtId="0" fontId="0" fillId="0" borderId="48" xfId="0" applyBorder="1"/>
    <xf numFmtId="172" fontId="0" fillId="0" borderId="48" xfId="0" applyNumberFormat="1" applyBorder="1"/>
    <xf numFmtId="39" fontId="49" fillId="15" borderId="0" xfId="0" applyNumberFormat="1" applyFont="1" applyFill="1" applyProtection="1"/>
    <xf numFmtId="0" fontId="50" fillId="18" borderId="46" xfId="0" applyFont="1" applyFill="1" applyBorder="1"/>
    <xf numFmtId="4" fontId="49" fillId="15" borderId="0" xfId="0" applyNumberFormat="1" applyFont="1" applyFill="1" applyProtection="1"/>
    <xf numFmtId="0" fontId="0" fillId="18" borderId="46" xfId="0" applyFont="1" applyFill="1" applyBorder="1" applyAlignment="1">
      <alignment vertical="center"/>
    </xf>
    <xf numFmtId="174" fontId="0" fillId="0" borderId="48" xfId="0" applyNumberFormat="1" applyBorder="1" applyAlignment="1">
      <alignment horizontal="center"/>
    </xf>
    <xf numFmtId="175" fontId="0" fillId="0" borderId="48" xfId="0" applyNumberFormat="1" applyBorder="1"/>
    <xf numFmtId="176" fontId="0" fillId="0" borderId="48" xfId="0" applyNumberFormat="1" applyBorder="1"/>
    <xf numFmtId="0" fontId="0" fillId="17" borderId="46" xfId="0" applyFill="1" applyBorder="1" applyAlignment="1">
      <alignment vertical="center"/>
    </xf>
    <xf numFmtId="0" fontId="0" fillId="17" borderId="46" xfId="0" applyFill="1" applyBorder="1"/>
    <xf numFmtId="0" fontId="50" fillId="17" borderId="46" xfId="0" applyFont="1" applyFill="1" applyBorder="1" applyAlignment="1">
      <alignment horizontal="right" vertical="center"/>
    </xf>
    <xf numFmtId="0" fontId="50" fillId="18" borderId="46" xfId="0" applyFont="1" applyFill="1" applyBorder="1" applyAlignment="1">
      <alignment horizontal="center"/>
    </xf>
    <xf numFmtId="0" fontId="49" fillId="0" borderId="0" xfId="0" applyFont="1" applyFill="1" applyProtection="1"/>
    <xf numFmtId="0" fontId="53" fillId="15" borderId="0" xfId="0" applyFont="1" applyFill="1" applyProtection="1"/>
    <xf numFmtId="0" fontId="50" fillId="18" borderId="46" xfId="0" applyFont="1" applyFill="1" applyBorder="1" applyAlignment="1">
      <alignment vertical="center"/>
    </xf>
    <xf numFmtId="2" fontId="50" fillId="0" borderId="46" xfId="0" applyNumberFormat="1" applyFont="1" applyFill="1" applyBorder="1" applyAlignment="1">
      <alignment horizontal="right"/>
    </xf>
    <xf numFmtId="172" fontId="50" fillId="0" borderId="46" xfId="0" applyNumberFormat="1" applyFont="1" applyFill="1" applyBorder="1" applyAlignment="1">
      <alignment horizontal="center"/>
    </xf>
    <xf numFmtId="172" fontId="0" fillId="15" borderId="0" xfId="0" applyNumberFormat="1" applyFill="1"/>
    <xf numFmtId="172" fontId="50" fillId="0" borderId="48" xfId="0" applyNumberFormat="1" applyFont="1" applyFill="1" applyBorder="1"/>
    <xf numFmtId="0" fontId="0" fillId="15" borderId="55" xfId="0" applyFill="1" applyBorder="1"/>
    <xf numFmtId="0" fontId="40" fillId="15" borderId="0" xfId="0" applyFont="1" applyFill="1" applyProtection="1"/>
    <xf numFmtId="0" fontId="0" fillId="15" borderId="0" xfId="0" applyFill="1" applyProtection="1"/>
    <xf numFmtId="0" fontId="50" fillId="0" borderId="56" xfId="0" applyFont="1" applyBorder="1"/>
    <xf numFmtId="0" fontId="49" fillId="15" borderId="0" xfId="0" applyFont="1" applyFill="1" applyBorder="1" applyProtection="1"/>
    <xf numFmtId="0" fontId="49" fillId="15" borderId="57" xfId="0" applyFont="1" applyFill="1" applyBorder="1" applyProtection="1"/>
    <xf numFmtId="0" fontId="0" fillId="15" borderId="0" xfId="0" applyFill="1" applyBorder="1" applyProtection="1"/>
    <xf numFmtId="0" fontId="50" fillId="15" borderId="56" xfId="0" applyFont="1" applyFill="1" applyBorder="1" applyProtection="1"/>
    <xf numFmtId="0" fontId="0" fillId="15" borderId="56" xfId="0" applyFont="1" applyFill="1" applyBorder="1" applyProtection="1"/>
    <xf numFmtId="0" fontId="0" fillId="15" borderId="58" xfId="0" applyFont="1" applyFill="1" applyBorder="1" applyProtection="1"/>
    <xf numFmtId="0" fontId="49" fillId="15" borderId="59" xfId="0" applyFont="1" applyFill="1" applyBorder="1" applyProtection="1"/>
    <xf numFmtId="0" fontId="49" fillId="15" borderId="60" xfId="0" applyFont="1" applyFill="1" applyBorder="1" applyProtection="1"/>
    <xf numFmtId="43" fontId="50" fillId="0" borderId="46" xfId="1" applyFont="1" applyFill="1" applyBorder="1" applyAlignment="1">
      <alignment horizontal="center"/>
    </xf>
    <xf numFmtId="43" fontId="0" fillId="0" borderId="0" xfId="0" applyNumberFormat="1" applyFont="1" applyBorder="1"/>
    <xf numFmtId="172" fontId="2" fillId="0" borderId="47" xfId="0" applyNumberFormat="1" applyFont="1" applyBorder="1"/>
    <xf numFmtId="172" fontId="2" fillId="0" borderId="49" xfId="0" applyNumberFormat="1" applyFont="1" applyBorder="1"/>
    <xf numFmtId="44" fontId="0" fillId="0" borderId="47" xfId="0" applyNumberFormat="1" applyBorder="1"/>
    <xf numFmtId="44" fontId="50" fillId="0" borderId="66" xfId="0" applyNumberFormat="1" applyFont="1" applyBorder="1"/>
    <xf numFmtId="44" fontId="50" fillId="18" borderId="64" xfId="0" applyNumberFormat="1" applyFont="1" applyFill="1" applyBorder="1"/>
    <xf numFmtId="44" fontId="0" fillId="0" borderId="49" xfId="0" applyNumberFormat="1" applyBorder="1"/>
    <xf numFmtId="44" fontId="2" fillId="0" borderId="49" xfId="0" applyNumberFormat="1" applyFont="1" applyBorder="1"/>
    <xf numFmtId="0" fontId="0" fillId="0" borderId="67" xfId="0" applyBorder="1"/>
    <xf numFmtId="164" fontId="0" fillId="0" borderId="69" xfId="1" applyNumberFormat="1" applyFont="1" applyBorder="1"/>
    <xf numFmtId="0" fontId="0" fillId="0" borderId="67" xfId="0" applyFont="1" applyBorder="1"/>
    <xf numFmtId="43" fontId="0" fillId="0" borderId="67" xfId="1" applyFont="1" applyBorder="1"/>
    <xf numFmtId="0" fontId="6" fillId="0" borderId="67" xfId="0" applyFont="1" applyBorder="1" applyAlignment="1">
      <alignment horizontal="center" vertical="center" wrapText="1"/>
    </xf>
    <xf numFmtId="43" fontId="6" fillId="0" borderId="67" xfId="1" applyFont="1" applyBorder="1" applyAlignment="1">
      <alignment horizontal="center" vertical="center" wrapText="1"/>
    </xf>
    <xf numFmtId="0" fontId="3" fillId="0" borderId="67" xfId="0" applyFont="1" applyBorder="1" applyAlignment="1">
      <alignment vertical="center" wrapText="1"/>
    </xf>
    <xf numFmtId="43" fontId="3" fillId="0" borderId="67" xfId="1" applyFont="1" applyBorder="1" applyAlignment="1">
      <alignment vertical="center" wrapText="1"/>
    </xf>
    <xf numFmtId="43" fontId="3" fillId="0" borderId="67" xfId="1" applyFont="1" applyBorder="1" applyAlignment="1">
      <alignment horizontal="justify" vertical="center" wrapText="1"/>
    </xf>
    <xf numFmtId="0" fontId="3" fillId="0" borderId="67" xfId="0" applyFont="1" applyBorder="1" applyAlignment="1">
      <alignment horizontal="right" vertical="center" wrapText="1"/>
    </xf>
    <xf numFmtId="43" fontId="6" fillId="0" borderId="67" xfId="1" applyFont="1" applyBorder="1" applyAlignment="1">
      <alignment vertical="center" wrapText="1"/>
    </xf>
    <xf numFmtId="43" fontId="0" fillId="0" borderId="67" xfId="1" applyNumberFormat="1" applyFont="1" applyBorder="1"/>
    <xf numFmtId="43" fontId="2" fillId="0" borderId="67" xfId="1" applyNumberFormat="1" applyFont="1" applyBorder="1" applyAlignment="1">
      <alignment horizontal="center" vertical="center" wrapText="1"/>
    </xf>
    <xf numFmtId="43" fontId="6" fillId="0" borderId="67" xfId="1" applyNumberFormat="1" applyFont="1" applyBorder="1" applyAlignment="1">
      <alignment vertical="center" wrapText="1"/>
    </xf>
    <xf numFmtId="43" fontId="0" fillId="0" borderId="0" xfId="1" applyNumberFormat="1" applyFont="1" applyBorder="1"/>
    <xf numFmtId="43" fontId="54" fillId="0" borderId="67" xfId="1" applyNumberFormat="1" applyFont="1" applyBorder="1"/>
    <xf numFmtId="0" fontId="0" fillId="0" borderId="0" xfId="0" applyAlignment="1">
      <alignment horizontal="center"/>
    </xf>
    <xf numFmtId="0" fontId="0" fillId="0" borderId="0" xfId="0" applyAlignment="1">
      <alignment horizontal="center" vertical="center"/>
    </xf>
    <xf numFmtId="164" fontId="2" fillId="0" borderId="0" xfId="1" applyNumberFormat="1" applyFont="1" applyBorder="1"/>
    <xf numFmtId="164" fontId="0" fillId="0" borderId="0" xfId="1" applyNumberFormat="1" applyFont="1" applyBorder="1"/>
    <xf numFmtId="44" fontId="0" fillId="0" borderId="67" xfId="2" applyFont="1" applyBorder="1"/>
    <xf numFmtId="0" fontId="0" fillId="19" borderId="67" xfId="0" applyFill="1" applyBorder="1" applyAlignment="1">
      <alignment horizontal="center" vertical="center"/>
    </xf>
    <xf numFmtId="43" fontId="0" fillId="19" borderId="67" xfId="1" applyFont="1" applyFill="1" applyBorder="1" applyAlignment="1">
      <alignment horizontal="center" vertical="center"/>
    </xf>
    <xf numFmtId="44" fontId="0" fillId="19" borderId="67" xfId="2" applyFont="1" applyFill="1" applyBorder="1" applyAlignment="1">
      <alignment horizontal="center" vertical="center"/>
    </xf>
    <xf numFmtId="0" fontId="2" fillId="19" borderId="67" xfId="0" applyFont="1" applyFill="1" applyBorder="1"/>
    <xf numFmtId="43" fontId="2" fillId="19" borderId="67" xfId="1" applyFont="1" applyFill="1" applyBorder="1"/>
    <xf numFmtId="0" fontId="2" fillId="8" borderId="11" xfId="0" applyNumberFormat="1" applyFont="1" applyFill="1" applyBorder="1" applyAlignment="1" applyProtection="1">
      <alignment horizontal="center" vertical="center"/>
    </xf>
    <xf numFmtId="0" fontId="21" fillId="8" borderId="19" xfId="0" applyFont="1" applyFill="1" applyBorder="1" applyAlignment="1" applyProtection="1">
      <alignment horizontal="left" vertical="center"/>
    </xf>
    <xf numFmtId="0" fontId="0" fillId="11" borderId="67" xfId="0" applyFill="1" applyBorder="1"/>
    <xf numFmtId="44" fontId="2" fillId="19" borderId="67" xfId="2" applyFont="1" applyFill="1" applyBorder="1" applyAlignment="1">
      <alignment horizontal="right"/>
    </xf>
    <xf numFmtId="44" fontId="0" fillId="0" borderId="0" xfId="2" applyFont="1" applyBorder="1"/>
    <xf numFmtId="164" fontId="2" fillId="0" borderId="0" xfId="1" applyNumberFormat="1" applyFont="1"/>
    <xf numFmtId="164" fontId="2" fillId="0" borderId="69" xfId="1" applyNumberFormat="1" applyFont="1" applyBorder="1"/>
    <xf numFmtId="44" fontId="2" fillId="0" borderId="0" xfId="2" applyFont="1" applyBorder="1"/>
    <xf numFmtId="44" fontId="2" fillId="0" borderId="0" xfId="2" applyFont="1"/>
    <xf numFmtId="0" fontId="2" fillId="0" borderId="11" xfId="0" applyFont="1" applyBorder="1"/>
    <xf numFmtId="164" fontId="2" fillId="0" borderId="11" xfId="1" applyNumberFormat="1" applyFont="1" applyBorder="1"/>
    <xf numFmtId="0" fontId="0" fillId="0" borderId="11" xfId="0" applyBorder="1"/>
    <xf numFmtId="164" fontId="0" fillId="0" borderId="11" xfId="1" applyNumberFormat="1" applyFont="1" applyBorder="1"/>
    <xf numFmtId="164" fontId="2" fillId="0" borderId="11" xfId="1" applyNumberFormat="1" applyFont="1" applyBorder="1" applyAlignment="1">
      <alignment horizontal="center" vertical="center"/>
    </xf>
    <xf numFmtId="0" fontId="0" fillId="0" borderId="71" xfId="0" applyBorder="1"/>
    <xf numFmtId="164" fontId="0" fillId="0" borderId="71" xfId="1" applyNumberFormat="1" applyFont="1" applyBorder="1"/>
    <xf numFmtId="0" fontId="0" fillId="0" borderId="11" xfId="0" applyBorder="1" applyAlignment="1">
      <alignment horizontal="center" vertical="center"/>
    </xf>
    <xf numFmtId="0" fontId="0" fillId="0" borderId="11" xfId="0" applyBorder="1" applyAlignment="1">
      <alignment horizontal="center" vertical="center"/>
    </xf>
    <xf numFmtId="0" fontId="0" fillId="11" borderId="11" xfId="0" applyFill="1" applyBorder="1"/>
    <xf numFmtId="177" fontId="0" fillId="0" borderId="67" xfId="1" applyNumberFormat="1" applyFont="1" applyBorder="1" applyAlignment="1">
      <alignment horizontal="center" vertical="top"/>
    </xf>
    <xf numFmtId="177" fontId="0" fillId="0" borderId="67" xfId="0" applyNumberFormat="1" applyBorder="1" applyAlignment="1">
      <alignment horizontal="center" vertical="top"/>
    </xf>
    <xf numFmtId="0" fontId="0" fillId="8" borderId="67" xfId="0" applyFill="1" applyBorder="1"/>
    <xf numFmtId="177" fontId="0" fillId="8" borderId="67" xfId="1" applyNumberFormat="1" applyFont="1" applyFill="1" applyBorder="1" applyAlignment="1">
      <alignment horizontal="center" vertical="top"/>
    </xf>
    <xf numFmtId="177" fontId="0" fillId="0" borderId="0" xfId="0" applyNumberFormat="1" applyAlignment="1">
      <alignment horizontal="right" vertical="center"/>
    </xf>
    <xf numFmtId="177" fontId="0" fillId="0" borderId="11" xfId="1" applyNumberFormat="1" applyFont="1" applyBorder="1" applyAlignment="1">
      <alignment horizontal="center" vertical="center"/>
    </xf>
    <xf numFmtId="0" fontId="0" fillId="0" borderId="0" xfId="0" applyAlignment="1">
      <alignment horizontal="center" vertical="top" wrapText="1"/>
    </xf>
    <xf numFmtId="9" fontId="0" fillId="0" borderId="0" xfId="0" applyNumberFormat="1" applyAlignment="1">
      <alignment horizontal="center" vertical="top" wrapText="1"/>
    </xf>
    <xf numFmtId="177" fontId="0" fillId="0" borderId="0" xfId="0" applyNumberFormat="1" applyAlignment="1">
      <alignment horizontal="center" vertical="top" wrapText="1"/>
    </xf>
    <xf numFmtId="9" fontId="0" fillId="0" borderId="0" xfId="3" applyFont="1" applyAlignment="1">
      <alignment horizontal="center" vertical="top" wrapText="1"/>
    </xf>
    <xf numFmtId="0" fontId="0" fillId="0" borderId="67" xfId="0" applyBorder="1" applyAlignment="1">
      <alignment horizontal="center" vertical="top" wrapText="1"/>
    </xf>
    <xf numFmtId="9" fontId="0" fillId="0" borderId="67" xfId="0" applyNumberFormat="1" applyBorder="1" applyAlignment="1">
      <alignment horizontal="center" vertical="top" wrapText="1"/>
    </xf>
    <xf numFmtId="177" fontId="0" fillId="0" borderId="67" xfId="0" applyNumberFormat="1" applyBorder="1" applyAlignment="1">
      <alignment horizontal="center" vertical="top" wrapText="1"/>
    </xf>
    <xf numFmtId="0" fontId="0" fillId="11" borderId="67" xfId="0" applyFill="1" applyBorder="1" applyAlignment="1">
      <alignment horizontal="center" vertical="top" wrapText="1"/>
    </xf>
    <xf numFmtId="9" fontId="0" fillId="11" borderId="67" xfId="3" applyFont="1" applyFill="1" applyBorder="1" applyAlignment="1">
      <alignment horizontal="center" vertical="top" wrapText="1"/>
    </xf>
    <xf numFmtId="0" fontId="0" fillId="0" borderId="73" xfId="0" applyBorder="1"/>
    <xf numFmtId="0" fontId="2" fillId="0" borderId="0" xfId="0" applyFont="1" applyAlignment="1">
      <alignment vertical="center"/>
    </xf>
    <xf numFmtId="0" fontId="2" fillId="0" borderId="0" xfId="0" applyFont="1" applyAlignment="1">
      <alignment horizontal="center" vertical="center"/>
    </xf>
    <xf numFmtId="164" fontId="0" fillId="0" borderId="0" xfId="0" applyNumberFormat="1"/>
    <xf numFmtId="2" fontId="0" fillId="0" borderId="0" xfId="0" applyNumberFormat="1" applyAlignment="1">
      <alignment horizontal="center" vertical="center"/>
    </xf>
    <xf numFmtId="177" fontId="0" fillId="0" borderId="0" xfId="0" applyNumberFormat="1"/>
    <xf numFmtId="177" fontId="0" fillId="0" borderId="0" xfId="1" applyNumberFormat="1" applyFont="1" applyAlignment="1">
      <alignment horizontal="center" vertical="center"/>
    </xf>
    <xf numFmtId="177" fontId="0" fillId="0" borderId="0" xfId="1" applyNumberFormat="1" applyFont="1"/>
    <xf numFmtId="177" fontId="0" fillId="19" borderId="0" xfId="1" applyNumberFormat="1" applyFont="1" applyFill="1" applyBorder="1"/>
    <xf numFmtId="177" fontId="56" fillId="0" borderId="0" xfId="1" applyNumberFormat="1" applyFont="1" applyAlignment="1">
      <alignment horizontal="right" vertical="center"/>
    </xf>
    <xf numFmtId="177" fontId="56" fillId="0" borderId="0" xfId="1" applyNumberFormat="1" applyFont="1" applyAlignment="1">
      <alignment horizontal="right"/>
    </xf>
    <xf numFmtId="177" fontId="56" fillId="0" borderId="0" xfId="0" applyNumberFormat="1" applyFont="1" applyAlignment="1">
      <alignment horizontal="right"/>
    </xf>
    <xf numFmtId="177" fontId="0" fillId="0" borderId="0" xfId="0" applyNumberFormat="1" applyAlignment="1">
      <alignment horizontal="right"/>
    </xf>
    <xf numFmtId="177" fontId="56" fillId="0" borderId="0" xfId="1" applyNumberFormat="1" applyFont="1" applyAlignment="1">
      <alignment horizontal="right" vertical="top"/>
    </xf>
    <xf numFmtId="177" fontId="56" fillId="0" borderId="0" xfId="0" applyNumberFormat="1" applyFont="1" applyAlignment="1">
      <alignment horizontal="right" vertical="top"/>
    </xf>
    <xf numFmtId="177" fontId="0" fillId="0" borderId="0" xfId="0" applyNumberFormat="1" applyAlignment="1">
      <alignment horizontal="right" vertical="top"/>
    </xf>
    <xf numFmtId="177" fontId="1" fillId="0" borderId="0" xfId="1" applyNumberFormat="1" applyFont="1" applyAlignment="1">
      <alignment horizontal="right" vertical="center"/>
    </xf>
    <xf numFmtId="177" fontId="1" fillId="0" borderId="0" xfId="1" applyNumberFormat="1" applyFont="1" applyAlignment="1">
      <alignment horizontal="right"/>
    </xf>
    <xf numFmtId="177" fontId="1" fillId="19" borderId="0" xfId="1" applyNumberFormat="1" applyFont="1" applyFill="1" applyAlignment="1">
      <alignment horizontal="right" vertical="center"/>
    </xf>
    <xf numFmtId="177" fontId="1" fillId="19" borderId="0" xfId="1" applyNumberFormat="1" applyFont="1" applyFill="1" applyAlignment="1">
      <alignment horizontal="right"/>
    </xf>
    <xf numFmtId="177" fontId="0" fillId="19" borderId="0" xfId="0" applyNumberFormat="1" applyFill="1" applyAlignment="1">
      <alignment horizontal="right"/>
    </xf>
    <xf numFmtId="177" fontId="0" fillId="20" borderId="0" xfId="0" applyNumberFormat="1" applyFill="1"/>
    <xf numFmtId="10" fontId="0" fillId="0" borderId="0" xfId="3" applyNumberFormat="1" applyFont="1"/>
    <xf numFmtId="2" fontId="0" fillId="0" borderId="67" xfId="3" applyNumberFormat="1" applyFont="1" applyBorder="1" applyAlignment="1">
      <alignment horizontal="center" vertical="top" wrapText="1"/>
    </xf>
    <xf numFmtId="43" fontId="59" fillId="0" borderId="0" xfId="1" applyFont="1" applyBorder="1"/>
    <xf numFmtId="43" fontId="59" fillId="0" borderId="0" xfId="0" applyNumberFormat="1" applyFont="1" applyBorder="1"/>
    <xf numFmtId="0" fontId="59" fillId="0" borderId="0" xfId="0" applyFont="1" applyBorder="1"/>
    <xf numFmtId="10" fontId="41" fillId="4" borderId="36" xfId="7" applyNumberFormat="1" applyFont="1" applyFill="1" applyBorder="1" applyAlignment="1">
      <alignment vertical="center" wrapText="1"/>
    </xf>
    <xf numFmtId="10" fontId="41" fillId="4" borderId="37" xfId="7" applyNumberFormat="1" applyFont="1" applyFill="1" applyBorder="1" applyAlignment="1">
      <alignment vertical="center" wrapText="1"/>
    </xf>
    <xf numFmtId="0" fontId="38" fillId="21" borderId="36" xfId="5" applyFont="1" applyFill="1" applyBorder="1" applyAlignment="1">
      <alignment vertical="center"/>
    </xf>
    <xf numFmtId="10" fontId="38" fillId="21" borderId="36" xfId="7" applyNumberFormat="1" applyFont="1" applyFill="1" applyBorder="1" applyAlignment="1">
      <alignment vertical="center"/>
    </xf>
    <xf numFmtId="10" fontId="38" fillId="21" borderId="37" xfId="7" applyNumberFormat="1" applyFont="1" applyFill="1" applyBorder="1" applyAlignment="1">
      <alignment vertical="center"/>
    </xf>
    <xf numFmtId="0" fontId="38" fillId="21" borderId="33" xfId="5" applyFont="1" applyFill="1" applyBorder="1" applyAlignment="1">
      <alignment horizontal="center" vertical="center" wrapText="1"/>
    </xf>
    <xf numFmtId="0" fontId="38" fillId="21" borderId="34" xfId="5" applyFont="1" applyFill="1" applyBorder="1" applyAlignment="1">
      <alignment horizontal="center" vertical="center" wrapText="1"/>
    </xf>
    <xf numFmtId="0" fontId="38" fillId="21" borderId="36" xfId="5" applyFont="1" applyFill="1" applyBorder="1" applyAlignment="1">
      <alignment vertical="center" wrapText="1"/>
    </xf>
    <xf numFmtId="0" fontId="41" fillId="21" borderId="36" xfId="5" applyFont="1" applyFill="1" applyBorder="1" applyAlignment="1">
      <alignment vertical="center" wrapText="1"/>
    </xf>
    <xf numFmtId="10" fontId="41" fillId="21" borderId="36" xfId="7" applyNumberFormat="1" applyFont="1" applyFill="1" applyBorder="1" applyAlignment="1">
      <alignment vertical="center" wrapText="1"/>
    </xf>
    <xf numFmtId="10" fontId="41" fillId="21" borderId="37" xfId="7" applyNumberFormat="1" applyFont="1" applyFill="1" applyBorder="1" applyAlignment="1">
      <alignment vertical="center" wrapText="1"/>
    </xf>
    <xf numFmtId="0" fontId="41" fillId="21" borderId="39" xfId="5" applyFont="1" applyFill="1" applyBorder="1" applyAlignment="1">
      <alignment vertical="center"/>
    </xf>
    <xf numFmtId="10" fontId="48" fillId="21" borderId="39" xfId="7" applyNumberFormat="1" applyFont="1" applyFill="1" applyBorder="1" applyAlignment="1">
      <alignment vertical="center"/>
    </xf>
    <xf numFmtId="10" fontId="48" fillId="21" borderId="40" xfId="7" applyNumberFormat="1" applyFont="1" applyFill="1" applyBorder="1" applyAlignment="1">
      <alignment vertical="center"/>
    </xf>
    <xf numFmtId="10" fontId="32" fillId="11" borderId="10" xfId="5" applyNumberFormat="1" applyFont="1" applyFill="1" applyBorder="1" applyAlignment="1">
      <alignment horizontal="center"/>
    </xf>
    <xf numFmtId="10" fontId="30" fillId="11" borderId="10" xfId="5" applyNumberFormat="1" applyFont="1" applyFill="1" applyBorder="1" applyAlignment="1">
      <alignment horizontal="center"/>
    </xf>
    <xf numFmtId="0" fontId="23" fillId="0" borderId="11" xfId="0" applyFont="1" applyBorder="1" applyAlignment="1" applyProtection="1">
      <alignment horizontal="left" vertical="center"/>
    </xf>
    <xf numFmtId="0" fontId="0" fillId="8" borderId="11" xfId="0" applyFill="1" applyBorder="1" applyAlignment="1" applyProtection="1">
      <alignment horizontal="left" vertical="center"/>
    </xf>
    <xf numFmtId="0" fontId="0" fillId="0" borderId="11" xfId="0" applyBorder="1" applyAlignment="1" applyProtection="1">
      <alignment horizontal="left" vertical="center"/>
    </xf>
    <xf numFmtId="0" fontId="0" fillId="0" borderId="11" xfId="0" applyBorder="1" applyProtection="1"/>
    <xf numFmtId="0" fontId="23" fillId="0" borderId="8" xfId="0" applyFont="1" applyBorder="1" applyAlignment="1" applyProtection="1">
      <alignment horizontal="center" vertical="center"/>
    </xf>
    <xf numFmtId="0" fontId="0" fillId="0" borderId="11" xfId="0" applyBorder="1" applyAlignment="1" applyProtection="1">
      <alignment horizontal="center" vertical="center"/>
    </xf>
    <xf numFmtId="165" fontId="0" fillId="0" borderId="12" xfId="0" applyNumberFormat="1" applyBorder="1" applyAlignment="1" applyProtection="1">
      <alignment horizontal="right" vertical="center"/>
    </xf>
    <xf numFmtId="0" fontId="0" fillId="0" borderId="15" xfId="0" applyBorder="1" applyAlignment="1" applyProtection="1">
      <alignment horizontal="right" vertical="center"/>
    </xf>
    <xf numFmtId="0" fontId="17" fillId="0" borderId="8" xfId="0" applyFont="1" applyBorder="1" applyAlignment="1" applyProtection="1">
      <alignment horizontal="center" vertical="center"/>
    </xf>
    <xf numFmtId="0" fontId="0" fillId="19" borderId="8" xfId="0" applyFill="1" applyBorder="1" applyAlignment="1">
      <alignment horizontal="center" vertical="center"/>
    </xf>
    <xf numFmtId="44" fontId="0" fillId="19" borderId="75" xfId="2" applyFont="1" applyFill="1" applyBorder="1" applyAlignment="1">
      <alignment horizontal="center" vertical="center"/>
    </xf>
    <xf numFmtId="0" fontId="0" fillId="0" borderId="8" xfId="0" applyBorder="1" applyAlignment="1">
      <alignment horizontal="center"/>
    </xf>
    <xf numFmtId="44" fontId="0" fillId="0" borderId="75" xfId="2" applyFont="1" applyBorder="1"/>
    <xf numFmtId="0" fontId="2" fillId="19" borderId="8" xfId="0" applyFont="1" applyFill="1" applyBorder="1" applyAlignment="1">
      <alignment horizontal="center"/>
    </xf>
    <xf numFmtId="44" fontId="2" fillId="19" borderId="75" xfId="2" applyFont="1" applyFill="1" applyBorder="1"/>
    <xf numFmtId="0" fontId="2" fillId="19" borderId="74" xfId="0" applyFont="1" applyFill="1" applyBorder="1" applyAlignment="1">
      <alignment horizontal="center"/>
    </xf>
    <xf numFmtId="0" fontId="2" fillId="19" borderId="31" xfId="0" applyFont="1" applyFill="1" applyBorder="1"/>
    <xf numFmtId="43" fontId="2" fillId="19" borderId="31" xfId="1" applyFont="1" applyFill="1" applyBorder="1"/>
    <xf numFmtId="44" fontId="2" fillId="19" borderId="31" xfId="2" applyFont="1" applyFill="1" applyBorder="1" applyAlignment="1">
      <alignment horizontal="right"/>
    </xf>
    <xf numFmtId="44" fontId="2" fillId="19" borderId="77" xfId="2" applyFont="1" applyFill="1" applyBorder="1"/>
    <xf numFmtId="0" fontId="0" fillId="0" borderId="11" xfId="0" applyFill="1" applyBorder="1" applyAlignment="1" applyProtection="1">
      <alignment horizontal="center" vertical="center" wrapText="1"/>
    </xf>
    <xf numFmtId="0" fontId="0" fillId="0" borderId="11" xfId="0" applyFill="1" applyBorder="1" applyAlignment="1" applyProtection="1">
      <alignment horizontal="center" vertical="center"/>
    </xf>
    <xf numFmtId="165" fontId="0" fillId="0" borderId="12" xfId="0" applyNumberFormat="1" applyFill="1" applyBorder="1" applyAlignment="1" applyProtection="1">
      <alignment vertical="center"/>
    </xf>
    <xf numFmtId="164" fontId="0" fillId="0" borderId="0" xfId="1" applyNumberFormat="1" applyFont="1" applyBorder="1" applyProtection="1"/>
    <xf numFmtId="0" fontId="9" fillId="0" borderId="0" xfId="0" applyFont="1" applyBorder="1" applyProtection="1"/>
    <xf numFmtId="0" fontId="11" fillId="2" borderId="71" xfId="0" applyFont="1" applyFill="1" applyBorder="1" applyAlignment="1" applyProtection="1">
      <alignment horizontal="center" vertical="center"/>
    </xf>
    <xf numFmtId="164" fontId="11" fillId="2" borderId="71" xfId="1" applyNumberFormat="1" applyFont="1" applyFill="1" applyBorder="1" applyAlignment="1" applyProtection="1">
      <alignment horizontal="center" vertical="center"/>
    </xf>
    <xf numFmtId="44" fontId="11" fillId="2" borderId="71" xfId="2" applyFont="1" applyFill="1" applyBorder="1" applyAlignment="1" applyProtection="1">
      <alignment horizontal="center" vertical="center"/>
    </xf>
    <xf numFmtId="164" fontId="11" fillId="2" borderId="0" xfId="1" applyNumberFormat="1" applyFont="1" applyFill="1" applyBorder="1" applyAlignment="1" applyProtection="1">
      <alignment vertical="center"/>
    </xf>
    <xf numFmtId="0" fontId="10" fillId="0" borderId="67" xfId="0" applyFont="1" applyBorder="1" applyAlignment="1" applyProtection="1">
      <alignment vertical="center"/>
    </xf>
    <xf numFmtId="164" fontId="10" fillId="0" borderId="67" xfId="1" applyNumberFormat="1" applyFont="1" applyBorder="1" applyAlignment="1" applyProtection="1">
      <alignment horizontal="right" vertical="center"/>
    </xf>
    <xf numFmtId="164" fontId="2" fillId="0" borderId="0" xfId="1" applyNumberFormat="1" applyFont="1" applyBorder="1" applyProtection="1"/>
    <xf numFmtId="178" fontId="0" fillId="0" borderId="0" xfId="1" applyNumberFormat="1" applyFont="1" applyProtection="1"/>
    <xf numFmtId="9" fontId="0" fillId="0" borderId="0" xfId="3" applyFont="1" applyProtection="1"/>
    <xf numFmtId="1" fontId="0" fillId="0" borderId="0" xfId="0" applyNumberFormat="1" applyProtection="1"/>
    <xf numFmtId="179" fontId="0" fillId="0" borderId="0" xfId="0" applyNumberFormat="1" applyProtection="1"/>
    <xf numFmtId="164" fontId="9" fillId="0" borderId="67" xfId="1" applyNumberFormat="1" applyFont="1" applyBorder="1" applyProtection="1"/>
    <xf numFmtId="2" fontId="0" fillId="0" borderId="0" xfId="3" applyNumberFormat="1" applyFont="1" applyProtection="1"/>
    <xf numFmtId="164" fontId="10" fillId="0" borderId="67" xfId="1" applyNumberFormat="1" applyFont="1" applyBorder="1" applyAlignment="1" applyProtection="1">
      <alignment vertical="center"/>
    </xf>
    <xf numFmtId="0" fontId="10" fillId="0" borderId="67" xfId="0" applyFont="1" applyFill="1" applyBorder="1" applyAlignment="1" applyProtection="1">
      <alignment vertical="center"/>
    </xf>
    <xf numFmtId="164" fontId="10" fillId="0" borderId="67" xfId="1" applyNumberFormat="1" applyFont="1" applyFill="1" applyBorder="1" applyAlignment="1" applyProtection="1">
      <alignment horizontal="right" vertical="center"/>
    </xf>
    <xf numFmtId="0" fontId="0" fillId="0" borderId="67" xfId="0" applyBorder="1" applyProtection="1"/>
    <xf numFmtId="164" fontId="0" fillId="0" borderId="67" xfId="1" applyNumberFormat="1" applyFont="1" applyBorder="1" applyProtection="1"/>
    <xf numFmtId="0" fontId="0" fillId="0" borderId="70" xfId="0" applyBorder="1" applyProtection="1"/>
    <xf numFmtId="164" fontId="0" fillId="0" borderId="70" xfId="1" applyNumberFormat="1" applyFont="1" applyBorder="1" applyProtection="1"/>
    <xf numFmtId="0" fontId="0" fillId="11" borderId="67" xfId="0" applyFill="1" applyBorder="1" applyAlignment="1" applyProtection="1">
      <alignment horizontal="right" vertical="top"/>
    </xf>
    <xf numFmtId="0" fontId="2" fillId="11" borderId="67" xfId="0" applyFont="1" applyFill="1" applyBorder="1" applyAlignment="1" applyProtection="1">
      <alignment wrapText="1"/>
    </xf>
    <xf numFmtId="0" fontId="0" fillId="11" borderId="67" xfId="0" applyFill="1" applyBorder="1" applyProtection="1"/>
    <xf numFmtId="0" fontId="2" fillId="11" borderId="67" xfId="0" applyFont="1" applyFill="1" applyBorder="1" applyProtection="1"/>
    <xf numFmtId="171" fontId="2" fillId="11" borderId="67" xfId="1" applyNumberFormat="1" applyFont="1" applyFill="1" applyBorder="1" applyAlignment="1" applyProtection="1">
      <alignment horizontal="right"/>
    </xf>
    <xf numFmtId="164" fontId="0" fillId="0" borderId="0" xfId="1" applyNumberFormat="1" applyFont="1" applyProtection="1"/>
    <xf numFmtId="44" fontId="0" fillId="0" borderId="0" xfId="2" applyFont="1" applyBorder="1" applyProtection="1"/>
    <xf numFmtId="0" fontId="11" fillId="2" borderId="67" xfId="0" applyFont="1" applyFill="1" applyBorder="1" applyAlignment="1" applyProtection="1">
      <alignment horizontal="center" vertical="center" wrapText="1"/>
    </xf>
    <xf numFmtId="164" fontId="11" fillId="2" borderId="67" xfId="1" applyNumberFormat="1" applyFont="1" applyFill="1" applyBorder="1" applyAlignment="1" applyProtection="1">
      <alignment horizontal="center" vertical="center" wrapText="1"/>
    </xf>
    <xf numFmtId="171" fontId="11" fillId="2" borderId="67" xfId="1" applyNumberFormat="1" applyFont="1" applyFill="1" applyBorder="1" applyAlignment="1" applyProtection="1">
      <alignment horizontal="center" vertical="center" wrapText="1"/>
    </xf>
    <xf numFmtId="44" fontId="11" fillId="2" borderId="67" xfId="2"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67" xfId="0" applyBorder="1" applyAlignment="1" applyProtection="1">
      <alignment horizontal="right" vertical="top"/>
    </xf>
    <xf numFmtId="0" fontId="0" fillId="0" borderId="67" xfId="0" applyBorder="1" applyAlignment="1" applyProtection="1">
      <alignment wrapText="1"/>
    </xf>
    <xf numFmtId="0" fontId="0" fillId="0" borderId="67" xfId="0" applyBorder="1" applyAlignment="1" applyProtection="1">
      <alignment horizontal="center" vertical="center"/>
    </xf>
    <xf numFmtId="43" fontId="0" fillId="0" borderId="67" xfId="1" applyFont="1" applyBorder="1" applyAlignment="1" applyProtection="1">
      <alignment horizontal="right" vertical="top"/>
    </xf>
    <xf numFmtId="43" fontId="2" fillId="0" borderId="67" xfId="1" applyFont="1" applyBorder="1" applyAlignment="1" applyProtection="1">
      <alignment horizontal="right" vertical="top"/>
    </xf>
    <xf numFmtId="171" fontId="0" fillId="0" borderId="67" xfId="1" applyNumberFormat="1" applyFont="1" applyBorder="1" applyAlignment="1" applyProtection="1">
      <alignment horizontal="right" vertical="top"/>
    </xf>
    <xf numFmtId="44" fontId="0" fillId="0" borderId="67" xfId="2" applyFont="1" applyBorder="1" applyAlignment="1" applyProtection="1">
      <alignment horizontal="right" vertical="top"/>
    </xf>
    <xf numFmtId="44" fontId="0" fillId="0" borderId="0" xfId="0" applyNumberFormat="1" applyProtection="1"/>
    <xf numFmtId="0" fontId="18" fillId="0" borderId="67" xfId="0" applyFont="1" applyBorder="1" applyAlignment="1" applyProtection="1">
      <alignment horizontal="right" vertical="top"/>
    </xf>
    <xf numFmtId="0" fontId="18" fillId="0" borderId="67" xfId="0" applyFont="1" applyBorder="1" applyAlignment="1" applyProtection="1">
      <alignment wrapText="1"/>
    </xf>
    <xf numFmtId="0" fontId="18" fillId="0" borderId="67" xfId="0" applyFont="1" applyBorder="1" applyAlignment="1" applyProtection="1">
      <alignment horizontal="center" vertical="center"/>
    </xf>
    <xf numFmtId="43" fontId="18" fillId="0" borderId="67" xfId="1" applyFont="1" applyBorder="1" applyAlignment="1" applyProtection="1">
      <alignment horizontal="right" vertical="top"/>
    </xf>
    <xf numFmtId="43" fontId="26" fillId="0" borderId="67" xfId="1" applyFont="1" applyBorder="1" applyAlignment="1" applyProtection="1">
      <alignment horizontal="right" vertical="top"/>
    </xf>
    <xf numFmtId="171" fontId="18" fillId="0" borderId="67" xfId="1" applyNumberFormat="1" applyFont="1" applyBorder="1" applyAlignment="1" applyProtection="1">
      <alignment horizontal="right" vertical="top" wrapText="1"/>
    </xf>
    <xf numFmtId="44" fontId="18" fillId="0" borderId="67" xfId="2" applyFont="1" applyBorder="1" applyAlignment="1" applyProtection="1">
      <alignment horizontal="right" vertical="top"/>
    </xf>
    <xf numFmtId="0" fontId="18" fillId="0" borderId="0" xfId="0" applyFont="1" applyProtection="1"/>
    <xf numFmtId="171" fontId="0" fillId="0" borderId="67" xfId="1" applyNumberFormat="1" applyFont="1" applyBorder="1" applyAlignment="1" applyProtection="1">
      <alignment horizontal="right" vertical="top" wrapText="1"/>
    </xf>
    <xf numFmtId="44" fontId="2" fillId="11" borderId="67" xfId="2" applyFont="1" applyFill="1" applyBorder="1" applyProtection="1"/>
    <xf numFmtId="0" fontId="0" fillId="0" borderId="0" xfId="0" applyAlignment="1" applyProtection="1">
      <alignment wrapText="1"/>
    </xf>
    <xf numFmtId="0" fontId="2" fillId="0" borderId="0" xfId="0" applyFont="1" applyProtection="1"/>
    <xf numFmtId="171" fontId="0" fillId="0" borderId="0" xfId="1" applyNumberFormat="1" applyFont="1" applyProtection="1"/>
    <xf numFmtId="0" fontId="11" fillId="8" borderId="71" xfId="0" applyFont="1" applyFill="1" applyBorder="1" applyAlignment="1" applyProtection="1">
      <alignment horizontal="center" vertical="center"/>
    </xf>
    <xf numFmtId="164" fontId="11" fillId="8" borderId="71" xfId="1" applyNumberFormat="1" applyFont="1" applyFill="1" applyBorder="1" applyAlignment="1" applyProtection="1">
      <alignment horizontal="center" vertical="center"/>
    </xf>
    <xf numFmtId="44" fontId="11" fillId="8" borderId="71" xfId="2" applyFont="1" applyFill="1" applyBorder="1" applyAlignment="1" applyProtection="1">
      <alignment horizontal="center" vertical="center"/>
    </xf>
    <xf numFmtId="44" fontId="2" fillId="8" borderId="67" xfId="2" applyFont="1" applyFill="1" applyBorder="1" applyAlignment="1" applyProtection="1">
      <alignment horizontal="center" vertical="center"/>
    </xf>
    <xf numFmtId="0" fontId="2" fillId="0" borderId="0" xfId="0" applyFont="1" applyAlignment="1" applyProtection="1">
      <alignment horizontal="center" vertical="center"/>
    </xf>
    <xf numFmtId="171" fontId="2" fillId="11" borderId="67" xfId="0" applyNumberFormat="1" applyFont="1" applyFill="1" applyBorder="1" applyProtection="1"/>
    <xf numFmtId="44" fontId="2" fillId="11" borderId="67" xfId="2" applyFont="1" applyFill="1" applyBorder="1" applyAlignment="1" applyProtection="1">
      <alignment horizontal="right"/>
    </xf>
    <xf numFmtId="171" fontId="0" fillId="0" borderId="0" xfId="0" applyNumberFormat="1" applyProtection="1"/>
    <xf numFmtId="171" fontId="11" fillId="8" borderId="71" xfId="1" applyNumberFormat="1" applyFont="1" applyFill="1" applyBorder="1" applyAlignment="1" applyProtection="1">
      <alignment horizontal="center" vertical="center" wrapText="1"/>
    </xf>
    <xf numFmtId="44" fontId="1" fillId="11" borderId="67" xfId="2" applyFont="1" applyFill="1" applyBorder="1" applyProtection="1">
      <protection locked="0"/>
    </xf>
    <xf numFmtId="44" fontId="1" fillId="11" borderId="70" xfId="2" applyFont="1" applyFill="1" applyBorder="1" applyProtection="1">
      <protection locked="0"/>
    </xf>
    <xf numFmtId="44" fontId="0" fillId="11" borderId="67" xfId="2" applyFont="1" applyFill="1" applyBorder="1" applyProtection="1">
      <protection locked="0"/>
    </xf>
    <xf numFmtId="44" fontId="0" fillId="11" borderId="67" xfId="2" applyFont="1" applyFill="1" applyBorder="1" applyAlignment="1" applyProtection="1">
      <alignment horizontal="right" vertical="top"/>
      <protection locked="0"/>
    </xf>
    <xf numFmtId="44" fontId="18" fillId="11" borderId="67" xfId="2" applyFont="1" applyFill="1" applyBorder="1" applyAlignment="1" applyProtection="1">
      <alignment horizontal="right" vertical="top" wrapText="1"/>
      <protection locked="0"/>
    </xf>
    <xf numFmtId="44" fontId="0" fillId="11" borderId="0" xfId="2" applyFont="1" applyFill="1" applyProtection="1">
      <protection locked="0"/>
    </xf>
    <xf numFmtId="44" fontId="1" fillId="0" borderId="67" xfId="2" applyFont="1" applyBorder="1" applyProtection="1"/>
    <xf numFmtId="44" fontId="1" fillId="0" borderId="70" xfId="2" applyFont="1" applyBorder="1" applyProtection="1"/>
    <xf numFmtId="43" fontId="0" fillId="0" borderId="69" xfId="1" applyFont="1" applyBorder="1" applyProtection="1"/>
    <xf numFmtId="43" fontId="11" fillId="2" borderId="78" xfId="1" applyFont="1" applyFill="1" applyBorder="1" applyAlignment="1" applyProtection="1">
      <alignment horizontal="center" vertical="center" wrapText="1"/>
    </xf>
    <xf numFmtId="43" fontId="1" fillId="0" borderId="79" xfId="1" applyFont="1" applyBorder="1" applyAlignment="1" applyProtection="1">
      <alignment wrapText="1"/>
    </xf>
    <xf numFmtId="43" fontId="1" fillId="0" borderId="79" xfId="1" applyFont="1" applyBorder="1" applyProtection="1"/>
    <xf numFmtId="43" fontId="2" fillId="11" borderId="80" xfId="1" applyFont="1" applyFill="1" applyBorder="1" applyProtection="1"/>
    <xf numFmtId="0" fontId="23" fillId="0" borderId="11" xfId="0" applyFont="1" applyBorder="1" applyAlignment="1" applyProtection="1">
      <alignment horizontal="left" vertical="center"/>
    </xf>
    <xf numFmtId="0" fontId="0" fillId="8" borderId="11" xfId="0" applyFill="1" applyBorder="1" applyAlignment="1" applyProtection="1">
      <alignment horizontal="left" vertical="center"/>
    </xf>
    <xf numFmtId="0" fontId="0" fillId="0" borderId="11" xfId="0" applyBorder="1" applyAlignment="1" applyProtection="1">
      <alignment horizontal="left" vertical="center"/>
    </xf>
    <xf numFmtId="0" fontId="0" fillId="0" borderId="11" xfId="0" applyBorder="1" applyProtection="1"/>
    <xf numFmtId="0" fontId="23" fillId="0" borderId="8" xfId="0" applyFont="1" applyBorder="1" applyAlignment="1" applyProtection="1">
      <alignment horizontal="center" vertical="center"/>
    </xf>
    <xf numFmtId="0" fontId="17" fillId="0" borderId="8" xfId="0" applyFont="1" applyBorder="1" applyAlignment="1" applyProtection="1">
      <alignment horizontal="center" vertical="center"/>
    </xf>
    <xf numFmtId="0" fontId="0" fillId="0" borderId="75" xfId="0" applyBorder="1" applyAlignment="1" applyProtection="1">
      <alignment horizontal="justify" vertical="center" wrapText="1"/>
    </xf>
    <xf numFmtId="10" fontId="0" fillId="0" borderId="11" xfId="0" applyNumberFormat="1" applyBorder="1" applyAlignment="1" applyProtection="1">
      <alignment horizontal="center" vertical="center"/>
      <protection locked="0"/>
    </xf>
    <xf numFmtId="10" fontId="0" fillId="22" borderId="11" xfId="0" applyNumberFormat="1" applyFill="1" applyBorder="1" applyAlignment="1" applyProtection="1">
      <alignment horizontal="center" vertical="center"/>
      <protection locked="0"/>
    </xf>
    <xf numFmtId="167" fontId="0" fillId="22" borderId="11" xfId="0" applyNumberFormat="1" applyFill="1" applyBorder="1" applyAlignment="1" applyProtection="1">
      <alignment horizontal="center" vertical="center"/>
      <protection locked="0"/>
    </xf>
    <xf numFmtId="0" fontId="17" fillId="0" borderId="8" xfId="0" applyFont="1" applyBorder="1" applyAlignment="1" applyProtection="1">
      <alignment horizontal="center" vertical="center"/>
    </xf>
    <xf numFmtId="0" fontId="17" fillId="0" borderId="8" xfId="0" applyFont="1" applyBorder="1" applyAlignment="1" applyProtection="1">
      <alignment horizontal="center" vertical="center"/>
    </xf>
    <xf numFmtId="0" fontId="23" fillId="0" borderId="8" xfId="0" applyFont="1" applyBorder="1" applyAlignment="1" applyProtection="1">
      <alignment horizontal="center" vertical="center"/>
    </xf>
    <xf numFmtId="0" fontId="0" fillId="0" borderId="11" xfId="0" applyBorder="1" applyAlignment="1" applyProtection="1">
      <alignment horizontal="left" vertical="center"/>
    </xf>
    <xf numFmtId="0" fontId="23" fillId="0" borderId="11" xfId="0" applyFont="1" applyBorder="1" applyAlignment="1" applyProtection="1">
      <alignment horizontal="left" vertical="center"/>
    </xf>
    <xf numFmtId="0" fontId="0" fillId="8" borderId="11" xfId="0" applyFill="1" applyBorder="1" applyAlignment="1" applyProtection="1">
      <alignment horizontal="left" vertical="center"/>
    </xf>
    <xf numFmtId="0" fontId="0" fillId="0" borderId="11" xfId="0" applyBorder="1" applyProtection="1"/>
    <xf numFmtId="0" fontId="0" fillId="11" borderId="3" xfId="0" applyFill="1" applyBorder="1" applyAlignment="1">
      <alignment horizontal="center"/>
    </xf>
    <xf numFmtId="0" fontId="0" fillId="11" borderId="4" xfId="0" applyFill="1" applyBorder="1" applyAlignment="1">
      <alignment horizontal="center"/>
    </xf>
    <xf numFmtId="0" fontId="0" fillId="11" borderId="76" xfId="0" applyFill="1" applyBorder="1" applyAlignment="1">
      <alignment horizontal="center"/>
    </xf>
    <xf numFmtId="0" fontId="15" fillId="0" borderId="3"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15" fillId="0" borderId="8"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15" fillId="0" borderId="12" xfId="0" applyNumberFormat="1" applyFont="1" applyBorder="1" applyAlignment="1" applyProtection="1">
      <alignment horizontal="center" vertical="center"/>
    </xf>
    <xf numFmtId="0" fontId="15" fillId="0" borderId="10" xfId="0" applyNumberFormat="1" applyFont="1" applyBorder="1" applyAlignment="1" applyProtection="1">
      <alignment horizontal="center" vertical="center"/>
    </xf>
    <xf numFmtId="0" fontId="17" fillId="8" borderId="8" xfId="0" applyFont="1" applyFill="1" applyBorder="1" applyAlignment="1" applyProtection="1">
      <alignment horizontal="left" vertical="center" wrapText="1"/>
    </xf>
    <xf numFmtId="0" fontId="0" fillId="8" borderId="9" xfId="0" applyFill="1" applyBorder="1" applyAlignment="1" applyProtection="1">
      <alignment horizontal="left" vertical="center" wrapText="1"/>
    </xf>
    <xf numFmtId="0" fontId="0" fillId="8" borderId="10" xfId="0" applyFill="1" applyBorder="1" applyAlignment="1" applyProtection="1">
      <alignment horizontal="left" vertical="center" wrapText="1"/>
    </xf>
    <xf numFmtId="4" fontId="0" fillId="0" borderId="12" xfId="0" applyNumberFormat="1" applyFill="1" applyBorder="1" applyAlignment="1" applyProtection="1">
      <alignment horizontal="right" vertical="center"/>
    </xf>
    <xf numFmtId="4" fontId="0" fillId="0" borderId="15" xfId="0" applyNumberFormat="1" applyFill="1" applyBorder="1" applyAlignment="1" applyProtection="1">
      <alignment horizontal="right" vertical="center"/>
    </xf>
    <xf numFmtId="165" fontId="0" fillId="0" borderId="12" xfId="0" applyNumberFormat="1" applyBorder="1" applyAlignment="1" applyProtection="1">
      <alignment horizontal="right" vertical="center"/>
    </xf>
    <xf numFmtId="0" fontId="0" fillId="0" borderId="15" xfId="0" applyBorder="1" applyAlignment="1" applyProtection="1">
      <alignment horizontal="right" vertical="center"/>
    </xf>
    <xf numFmtId="0" fontId="23" fillId="8" borderId="8" xfId="0" applyFont="1" applyFill="1" applyBorder="1" applyAlignment="1" applyProtection="1">
      <alignment horizontal="right" vertical="center"/>
    </xf>
    <xf numFmtId="0" fontId="23" fillId="8" borderId="9" xfId="0" applyFont="1" applyFill="1" applyBorder="1" applyAlignment="1" applyProtection="1">
      <alignment horizontal="right" vertical="center"/>
    </xf>
    <xf numFmtId="0" fontId="23" fillId="8" borderId="10" xfId="0" applyFont="1" applyFill="1" applyBorder="1" applyAlignment="1" applyProtection="1">
      <alignment horizontal="right" vertical="center"/>
    </xf>
    <xf numFmtId="165" fontId="14" fillId="8" borderId="12" xfId="0" applyNumberFormat="1" applyFont="1" applyFill="1" applyBorder="1" applyAlignment="1" applyProtection="1">
      <alignment horizontal="right" vertical="center"/>
    </xf>
    <xf numFmtId="165" fontId="14" fillId="8" borderId="15" xfId="0" applyNumberFormat="1" applyFont="1" applyFill="1" applyBorder="1" applyAlignment="1" applyProtection="1">
      <alignment horizontal="right" vertical="center"/>
    </xf>
    <xf numFmtId="0" fontId="2" fillId="8" borderId="16" xfId="0" applyFont="1" applyFill="1" applyBorder="1" applyAlignment="1" applyProtection="1">
      <alignment horizontal="center" vertical="center"/>
    </xf>
    <xf numFmtId="0" fontId="2" fillId="8" borderId="17" xfId="0" applyFont="1" applyFill="1" applyBorder="1" applyAlignment="1" applyProtection="1">
      <alignment horizontal="center" vertical="center"/>
    </xf>
    <xf numFmtId="0" fontId="2" fillId="8" borderId="18" xfId="0" applyFont="1" applyFill="1" applyBorder="1" applyAlignment="1" applyProtection="1">
      <alignment horizontal="center" vertical="center"/>
    </xf>
    <xf numFmtId="0" fontId="21" fillId="0" borderId="8" xfId="0" applyFont="1" applyBorder="1" applyAlignment="1" applyProtection="1">
      <alignment horizontal="justify" vertical="center" wrapText="1"/>
    </xf>
    <xf numFmtId="0" fontId="0" fillId="0" borderId="9" xfId="0" applyBorder="1" applyAlignment="1" applyProtection="1">
      <alignment horizontal="justify" vertical="center" wrapText="1"/>
    </xf>
    <xf numFmtId="0" fontId="0" fillId="0" borderId="15" xfId="0" applyBorder="1" applyAlignment="1" applyProtection="1">
      <alignment horizontal="justify" vertical="center" wrapText="1"/>
    </xf>
    <xf numFmtId="0" fontId="23" fillId="0" borderId="12" xfId="0" applyFont="1" applyBorder="1" applyAlignment="1" applyProtection="1">
      <alignment horizontal="center" vertical="center"/>
    </xf>
    <xf numFmtId="165" fontId="23" fillId="0" borderId="12" xfId="0" applyNumberFormat="1" applyFont="1" applyBorder="1" applyAlignment="1" applyProtection="1">
      <alignment horizontal="center" vertical="center"/>
    </xf>
    <xf numFmtId="165" fontId="23" fillId="0" borderId="15" xfId="0" applyNumberFormat="1" applyFont="1" applyBorder="1" applyAlignment="1" applyProtection="1">
      <alignment horizontal="center" vertical="center"/>
    </xf>
    <xf numFmtId="0" fontId="17" fillId="0" borderId="20" xfId="0" applyFont="1" applyBorder="1" applyAlignment="1" applyProtection="1">
      <alignment horizontal="left" vertical="center"/>
    </xf>
    <xf numFmtId="0" fontId="0" fillId="0" borderId="17" xfId="0" applyBorder="1" applyAlignment="1" applyProtection="1">
      <alignment horizontal="left" vertical="center"/>
    </xf>
    <xf numFmtId="0" fontId="0" fillId="0" borderId="21" xfId="0" applyBorder="1" applyAlignment="1" applyProtection="1">
      <alignment horizontal="left" vertical="center"/>
    </xf>
    <xf numFmtId="4" fontId="0" fillId="0" borderId="12" xfId="0" applyNumberFormat="1" applyBorder="1" applyAlignment="1" applyProtection="1">
      <alignment horizontal="right" vertical="center"/>
    </xf>
    <xf numFmtId="4" fontId="0" fillId="0" borderId="15" xfId="0" applyNumberFormat="1" applyBorder="1" applyAlignment="1" applyProtection="1">
      <alignment horizontal="right" vertical="center"/>
    </xf>
    <xf numFmtId="0" fontId="17" fillId="0" borderId="8" xfId="0" applyFont="1" applyBorder="1" applyAlignment="1" applyProtection="1">
      <alignment horizontal="center" vertical="center"/>
    </xf>
    <xf numFmtId="4" fontId="0" fillId="0" borderId="10" xfId="0" applyNumberFormat="1" applyBorder="1" applyAlignment="1" applyProtection="1">
      <alignment horizontal="right" vertical="center"/>
    </xf>
    <xf numFmtId="0" fontId="19" fillId="5" borderId="8" xfId="0" applyFont="1" applyFill="1" applyBorder="1" applyAlignment="1" applyProtection="1">
      <alignment horizontal="right" vertical="center"/>
    </xf>
    <xf numFmtId="0" fontId="20" fillId="5" borderId="9" xfId="0" applyFont="1" applyFill="1" applyBorder="1" applyAlignment="1" applyProtection="1">
      <alignment horizontal="right" vertical="center"/>
    </xf>
    <xf numFmtId="0" fontId="20" fillId="5" borderId="10" xfId="0" applyFont="1" applyFill="1" applyBorder="1" applyAlignment="1" applyProtection="1">
      <alignment horizontal="right" vertical="center"/>
    </xf>
    <xf numFmtId="165" fontId="14" fillId="0" borderId="12" xfId="0" applyNumberFormat="1" applyFont="1" applyBorder="1" applyAlignment="1" applyProtection="1">
      <alignment horizontal="right" vertical="center"/>
    </xf>
    <xf numFmtId="165" fontId="14" fillId="0" borderId="15" xfId="0" applyNumberFormat="1" applyFont="1" applyBorder="1" applyAlignment="1" applyProtection="1">
      <alignment horizontal="right" vertical="center"/>
    </xf>
    <xf numFmtId="0" fontId="15" fillId="0" borderId="8" xfId="0" applyFont="1" applyBorder="1" applyAlignment="1" applyProtection="1">
      <alignment horizontal="right" vertical="center"/>
    </xf>
    <xf numFmtId="0" fontId="0" fillId="0" borderId="9" xfId="0" applyBorder="1" applyAlignment="1" applyProtection="1">
      <alignment horizontal="right" vertical="center"/>
    </xf>
    <xf numFmtId="0" fontId="0" fillId="0" borderId="10" xfId="0" applyBorder="1" applyAlignment="1" applyProtection="1">
      <alignment horizontal="right" vertical="center"/>
    </xf>
    <xf numFmtId="0" fontId="60" fillId="23" borderId="8" xfId="0" applyFont="1" applyFill="1" applyBorder="1" applyAlignment="1" applyProtection="1">
      <alignment horizontal="left" vertical="center" wrapText="1"/>
    </xf>
    <xf numFmtId="0" fontId="60" fillId="23" borderId="67" xfId="0" applyFont="1" applyFill="1" applyBorder="1" applyAlignment="1" applyProtection="1">
      <alignment horizontal="left" vertical="center" wrapText="1"/>
    </xf>
    <xf numFmtId="0" fontId="2" fillId="8" borderId="11" xfId="0" applyFont="1" applyFill="1" applyBorder="1" applyAlignment="1" applyProtection="1">
      <alignment horizontal="center" vertical="center" wrapText="1"/>
    </xf>
    <xf numFmtId="0" fontId="0" fillId="0" borderId="71" xfId="0" applyBorder="1" applyAlignment="1" applyProtection="1">
      <alignment horizontal="center"/>
    </xf>
    <xf numFmtId="0" fontId="61" fillId="23" borderId="8" xfId="0" applyFont="1" applyFill="1" applyBorder="1" applyAlignment="1" applyProtection="1">
      <alignment horizontal="left" vertical="top" wrapText="1"/>
    </xf>
    <xf numFmtId="0" fontId="61" fillId="23" borderId="67" xfId="0" applyFont="1" applyFill="1" applyBorder="1" applyAlignment="1" applyProtection="1">
      <alignment horizontal="left" vertical="top" wrapText="1"/>
    </xf>
    <xf numFmtId="0" fontId="61" fillId="23" borderId="72" xfId="0" applyFont="1" applyFill="1" applyBorder="1" applyAlignment="1" applyProtection="1">
      <alignment horizontal="left" vertical="top" wrapText="1"/>
    </xf>
    <xf numFmtId="0" fontId="2" fillId="8" borderId="11" xfId="0" applyFont="1" applyFill="1" applyBorder="1" applyAlignment="1" applyProtection="1">
      <alignment horizontal="center" vertical="center"/>
    </xf>
    <xf numFmtId="0" fontId="17" fillId="5" borderId="20" xfId="0" applyFont="1" applyFill="1" applyBorder="1" applyAlignment="1" applyProtection="1">
      <alignment horizontal="justify" vertical="center" wrapText="1"/>
    </xf>
    <xf numFmtId="0" fontId="24" fillId="5" borderId="17" xfId="0" applyFont="1" applyFill="1" applyBorder="1" applyAlignment="1" applyProtection="1">
      <alignment horizontal="justify" vertical="center" wrapText="1"/>
    </xf>
    <xf numFmtId="0" fontId="24" fillId="5" borderId="21" xfId="0" applyFont="1" applyFill="1" applyBorder="1" applyAlignment="1" applyProtection="1">
      <alignment horizontal="justify" vertical="center" wrapText="1"/>
    </xf>
    <xf numFmtId="165" fontId="0" fillId="5" borderId="12" xfId="0" applyNumberFormat="1" applyFill="1" applyBorder="1" applyAlignment="1" applyProtection="1">
      <alignment horizontal="right" vertical="center"/>
    </xf>
    <xf numFmtId="165" fontId="0" fillId="5" borderId="10" xfId="0" applyNumberFormat="1" applyFill="1" applyBorder="1" applyAlignment="1" applyProtection="1">
      <alignment horizontal="right" vertical="center"/>
    </xf>
    <xf numFmtId="0" fontId="0" fillId="0" borderId="15" xfId="0" applyBorder="1" applyAlignment="1" applyProtection="1">
      <alignment horizontal="center" vertical="center"/>
    </xf>
    <xf numFmtId="0" fontId="17" fillId="0" borderId="12" xfId="0" applyFont="1" applyBorder="1" applyAlignment="1" applyProtection="1">
      <alignment horizontal="justify" vertical="center" wrapText="1"/>
    </xf>
    <xf numFmtId="0" fontId="0" fillId="0" borderId="9" xfId="0" applyFont="1" applyBorder="1" applyAlignment="1" applyProtection="1">
      <alignment horizontal="justify" vertical="center" wrapText="1"/>
    </xf>
    <xf numFmtId="0" fontId="0" fillId="0" borderId="10" xfId="0" applyFont="1" applyBorder="1" applyAlignment="1" applyProtection="1">
      <alignment horizontal="justify" vertical="center" wrapText="1"/>
    </xf>
    <xf numFmtId="165" fontId="0" fillId="0" borderId="12" xfId="0" applyNumberFormat="1" applyFill="1" applyBorder="1" applyAlignment="1" applyProtection="1">
      <alignment horizontal="right" vertical="center"/>
    </xf>
    <xf numFmtId="165" fontId="0" fillId="0" borderId="10" xfId="0" applyNumberFormat="1" applyFill="1" applyBorder="1" applyAlignment="1" applyProtection="1">
      <alignment horizontal="right" vertical="center"/>
    </xf>
    <xf numFmtId="0" fontId="0" fillId="0" borderId="15" xfId="0" applyFill="1" applyBorder="1" applyAlignment="1" applyProtection="1">
      <alignment horizontal="right" vertical="center"/>
    </xf>
    <xf numFmtId="0" fontId="0" fillId="0" borderId="10" xfId="0" applyBorder="1" applyAlignment="1" applyProtection="1">
      <alignment horizontal="justify" vertical="center" wrapText="1"/>
    </xf>
    <xf numFmtId="0" fontId="17" fillId="0" borderId="12" xfId="0" applyFont="1" applyBorder="1" applyAlignment="1" applyProtection="1">
      <alignment horizontal="lef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165" fontId="0" fillId="6" borderId="12" xfId="0" applyNumberFormat="1" applyFill="1" applyBorder="1" applyAlignment="1" applyProtection="1">
      <alignment horizontal="right" vertical="center"/>
      <protection locked="0"/>
    </xf>
    <xf numFmtId="0" fontId="0" fillId="6" borderId="75" xfId="0" applyFill="1" applyBorder="1" applyAlignment="1" applyProtection="1">
      <alignment horizontal="right" vertical="center"/>
      <protection locked="0"/>
    </xf>
    <xf numFmtId="0" fontId="17" fillId="6" borderId="12" xfId="0" applyFont="1" applyFill="1" applyBorder="1" applyAlignment="1" applyProtection="1">
      <alignment horizontal="left" vertical="center"/>
      <protection locked="0"/>
    </xf>
    <xf numFmtId="0" fontId="0" fillId="6" borderId="9"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8" borderId="9" xfId="0" applyFill="1" applyBorder="1" applyAlignment="1" applyProtection="1">
      <alignment horizontal="right" vertical="center"/>
    </xf>
    <xf numFmtId="0" fontId="0" fillId="8" borderId="10" xfId="0" applyFill="1" applyBorder="1" applyAlignment="1" applyProtection="1">
      <alignment horizontal="right" vertical="center"/>
    </xf>
    <xf numFmtId="0" fontId="14" fillId="8" borderId="15" xfId="0" applyFont="1" applyFill="1" applyBorder="1" applyAlignment="1" applyProtection="1">
      <alignment horizontal="right" vertical="center"/>
    </xf>
    <xf numFmtId="0" fontId="2" fillId="0" borderId="9" xfId="0" applyFont="1" applyBorder="1" applyAlignment="1" applyProtection="1">
      <alignment horizontal="justify" vertical="center" wrapText="1"/>
    </xf>
    <xf numFmtId="0" fontId="2" fillId="0" borderId="15" xfId="0" applyFont="1" applyBorder="1" applyAlignment="1" applyProtection="1">
      <alignment horizontal="justify" vertical="center" wrapText="1"/>
    </xf>
    <xf numFmtId="0" fontId="23" fillId="0" borderId="12" xfId="0" applyFont="1" applyBorder="1" applyAlignment="1" applyProtection="1">
      <alignment horizontal="left" vertical="center"/>
    </xf>
    <xf numFmtId="10" fontId="0" fillId="22" borderId="12" xfId="0" applyNumberFormat="1" applyFill="1" applyBorder="1" applyAlignment="1" applyProtection="1">
      <alignment horizontal="center" vertical="center"/>
      <protection locked="0"/>
    </xf>
    <xf numFmtId="10" fontId="0" fillId="22" borderId="10" xfId="0" applyNumberFormat="1" applyFill="1" applyBorder="1" applyAlignment="1" applyProtection="1">
      <alignment horizontal="center" vertical="center"/>
      <protection locked="0"/>
    </xf>
    <xf numFmtId="10" fontId="23" fillId="0" borderId="12" xfId="0" applyNumberFormat="1" applyFont="1" applyBorder="1" applyAlignment="1" applyProtection="1">
      <alignment horizontal="center" vertical="center"/>
    </xf>
    <xf numFmtId="0" fontId="62" fillId="23" borderId="8" xfId="0" applyFont="1" applyFill="1" applyBorder="1" applyAlignment="1" applyProtection="1">
      <alignment horizontal="left" vertical="top" wrapText="1"/>
    </xf>
    <xf numFmtId="0" fontId="62" fillId="23" borderId="67" xfId="0" applyFont="1" applyFill="1" applyBorder="1" applyAlignment="1" applyProtection="1">
      <alignment horizontal="left" vertical="top" wrapText="1"/>
    </xf>
    <xf numFmtId="0" fontId="23" fillId="0" borderId="8" xfId="0" applyFont="1" applyBorder="1" applyAlignment="1" applyProtection="1">
      <alignment horizontal="right" vertical="center"/>
    </xf>
    <xf numFmtId="10" fontId="14" fillId="0" borderId="12" xfId="0" applyNumberFormat="1" applyFont="1" applyBorder="1" applyAlignment="1" applyProtection="1">
      <alignment horizontal="center" vertical="center"/>
      <protection locked="0"/>
    </xf>
    <xf numFmtId="10" fontId="14" fillId="0" borderId="10" xfId="0" applyNumberFormat="1" applyFont="1" applyBorder="1" applyAlignment="1" applyProtection="1">
      <alignment horizontal="center" vertical="center"/>
      <protection locked="0"/>
    </xf>
    <xf numFmtId="0" fontId="14" fillId="0" borderId="15" xfId="0" applyFont="1" applyBorder="1" applyAlignment="1" applyProtection="1">
      <alignment horizontal="right" vertical="center"/>
    </xf>
    <xf numFmtId="10" fontId="14" fillId="0" borderId="12" xfId="0" applyNumberFormat="1" applyFont="1" applyBorder="1" applyAlignment="1" applyProtection="1">
      <alignment horizontal="center" vertical="center"/>
    </xf>
    <xf numFmtId="10" fontId="14" fillId="0" borderId="10" xfId="0" applyNumberFormat="1" applyFont="1" applyBorder="1" applyAlignment="1" applyProtection="1">
      <alignment horizontal="center" vertical="center"/>
    </xf>
    <xf numFmtId="165" fontId="14" fillId="0" borderId="12" xfId="0" applyNumberFormat="1" applyFont="1" applyFill="1" applyBorder="1" applyAlignment="1" applyProtection="1">
      <alignment horizontal="right" vertical="center"/>
    </xf>
    <xf numFmtId="0" fontId="14" fillId="0" borderId="15" xfId="0" applyFont="1" applyFill="1" applyBorder="1" applyAlignment="1" applyProtection="1">
      <alignment horizontal="right" vertical="center"/>
    </xf>
    <xf numFmtId="0" fontId="17" fillId="0" borderId="12" xfId="0" applyFont="1" applyBorder="1" applyAlignment="1" applyProtection="1">
      <alignment horizontal="justify" wrapText="1"/>
    </xf>
    <xf numFmtId="0" fontId="0" fillId="0" borderId="9" xfId="0" applyBorder="1" applyAlignment="1" applyProtection="1">
      <alignment horizontal="justify" wrapText="1"/>
    </xf>
    <xf numFmtId="0" fontId="0" fillId="0" borderId="10" xfId="0" applyBorder="1" applyAlignment="1" applyProtection="1">
      <alignment horizontal="justify" wrapText="1"/>
    </xf>
    <xf numFmtId="165" fontId="18" fillId="0" borderId="12" xfId="0" applyNumberFormat="1" applyFont="1" applyFill="1" applyBorder="1" applyAlignment="1" applyProtection="1">
      <alignment horizontal="right"/>
    </xf>
    <xf numFmtId="0" fontId="18" fillId="0" borderId="15" xfId="0" applyFont="1" applyFill="1" applyBorder="1" applyAlignment="1" applyProtection="1">
      <alignment horizontal="right"/>
    </xf>
    <xf numFmtId="0" fontId="17" fillId="0" borderId="12"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23" fillId="0" borderId="8" xfId="0" applyFont="1" applyFill="1" applyBorder="1" applyAlignment="1" applyProtection="1">
      <alignment horizontal="right" vertical="center"/>
    </xf>
    <xf numFmtId="0" fontId="0" fillId="0" borderId="9" xfId="0" applyFill="1" applyBorder="1" applyAlignment="1" applyProtection="1">
      <alignment horizontal="right" vertical="center"/>
    </xf>
    <xf numFmtId="0" fontId="0" fillId="0" borderId="10" xfId="0" applyFill="1" applyBorder="1" applyAlignment="1" applyProtection="1">
      <alignment horizontal="right" vertical="center"/>
    </xf>
    <xf numFmtId="10" fontId="18" fillId="0" borderId="12" xfId="0" applyNumberFormat="1" applyFont="1" applyFill="1" applyBorder="1" applyAlignment="1" applyProtection="1">
      <alignment horizontal="center" vertical="center"/>
    </xf>
    <xf numFmtId="10" fontId="18" fillId="0" borderId="10" xfId="0" applyNumberFormat="1" applyFont="1" applyFill="1" applyBorder="1" applyAlignment="1" applyProtection="1">
      <alignment horizontal="center" vertical="center"/>
    </xf>
    <xf numFmtId="165" fontId="26" fillId="0" borderId="12" xfId="0" applyNumberFormat="1" applyFont="1" applyFill="1" applyBorder="1" applyAlignment="1" applyProtection="1">
      <alignment horizontal="right" vertical="center"/>
    </xf>
    <xf numFmtId="0" fontId="26" fillId="0" borderId="15" xfId="0" applyFont="1" applyFill="1" applyBorder="1" applyAlignment="1" applyProtection="1">
      <alignment horizontal="right" vertical="center"/>
    </xf>
    <xf numFmtId="0" fontId="17" fillId="0" borderId="12"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10" fontId="0" fillId="0" borderId="12" xfId="0" applyNumberFormat="1" applyBorder="1" applyAlignment="1" applyProtection="1">
      <alignment horizontal="center" vertical="center"/>
    </xf>
    <xf numFmtId="10" fontId="0" fillId="0" borderId="10" xfId="0" applyNumberFormat="1" applyBorder="1" applyAlignment="1" applyProtection="1">
      <alignment horizontal="center" vertical="center"/>
    </xf>
    <xf numFmtId="10" fontId="14" fillId="0" borderId="12" xfId="0" applyNumberFormat="1" applyFont="1" applyFill="1" applyBorder="1" applyAlignment="1" applyProtection="1">
      <alignment horizontal="center" vertical="center"/>
    </xf>
    <xf numFmtId="10" fontId="14" fillId="0" borderId="10" xfId="0" applyNumberFormat="1" applyFont="1" applyFill="1" applyBorder="1" applyAlignment="1" applyProtection="1">
      <alignment horizontal="center" vertical="center"/>
    </xf>
    <xf numFmtId="0" fontId="23" fillId="0" borderId="9" xfId="0" applyFont="1" applyBorder="1" applyAlignment="1" applyProtection="1">
      <alignment horizontal="center" vertical="center"/>
    </xf>
    <xf numFmtId="0" fontId="23" fillId="0" borderId="10" xfId="0" applyFont="1" applyBorder="1" applyAlignment="1" applyProtection="1">
      <alignment horizontal="center" vertical="center"/>
    </xf>
    <xf numFmtId="10" fontId="18" fillId="0" borderId="12" xfId="0" applyNumberFormat="1" applyFont="1" applyBorder="1" applyAlignment="1" applyProtection="1">
      <alignment horizontal="center" vertical="center"/>
    </xf>
    <xf numFmtId="10" fontId="18" fillId="0" borderId="10" xfId="0" applyNumberFormat="1" applyFont="1" applyBorder="1" applyAlignment="1" applyProtection="1">
      <alignment horizontal="center" vertical="center"/>
    </xf>
    <xf numFmtId="165" fontId="18" fillId="0" borderId="12" xfId="0" applyNumberFormat="1" applyFont="1" applyBorder="1" applyAlignment="1" applyProtection="1">
      <alignment horizontal="right" vertical="center"/>
    </xf>
    <xf numFmtId="0" fontId="18" fillId="0" borderId="15" xfId="0" applyFont="1" applyBorder="1" applyAlignment="1" applyProtection="1">
      <alignment horizontal="right" vertical="center"/>
    </xf>
    <xf numFmtId="0" fontId="23" fillId="8" borderId="16" xfId="0" applyFont="1" applyFill="1" applyBorder="1" applyAlignment="1" applyProtection="1">
      <alignment horizontal="right" vertical="center"/>
    </xf>
    <xf numFmtId="0" fontId="0" fillId="8" borderId="17" xfId="0" applyFill="1" applyBorder="1" applyAlignment="1" applyProtection="1">
      <alignment horizontal="right" vertical="center"/>
    </xf>
    <xf numFmtId="0" fontId="0" fillId="8" borderId="21" xfId="0" applyFill="1" applyBorder="1" applyAlignment="1" applyProtection="1">
      <alignment horizontal="right" vertical="center"/>
    </xf>
    <xf numFmtId="10" fontId="14" fillId="8" borderId="20" xfId="0" applyNumberFormat="1" applyFont="1" applyFill="1" applyBorder="1" applyAlignment="1" applyProtection="1">
      <alignment horizontal="center" vertical="center"/>
    </xf>
    <xf numFmtId="10" fontId="14" fillId="8" borderId="21" xfId="0" applyNumberFormat="1" applyFont="1" applyFill="1" applyBorder="1" applyAlignment="1" applyProtection="1">
      <alignment horizontal="center" vertical="center"/>
    </xf>
    <xf numFmtId="165" fontId="14" fillId="8" borderId="20" xfId="0" applyNumberFormat="1" applyFont="1" applyFill="1" applyBorder="1" applyAlignment="1" applyProtection="1">
      <alignment horizontal="right" vertical="center"/>
    </xf>
    <xf numFmtId="0" fontId="14" fillId="8" borderId="18" xfId="0" applyFont="1" applyFill="1" applyBorder="1" applyAlignment="1" applyProtection="1">
      <alignment horizontal="right" vertical="center"/>
    </xf>
    <xf numFmtId="0" fontId="23" fillId="0" borderId="8" xfId="0" applyFont="1" applyBorder="1" applyAlignment="1" applyProtection="1">
      <alignment horizontal="center" vertical="center"/>
    </xf>
    <xf numFmtId="0" fontId="23" fillId="8" borderId="8" xfId="0" applyFont="1" applyFill="1" applyBorder="1" applyAlignment="1" applyProtection="1">
      <alignment horizontal="center" vertical="center"/>
    </xf>
    <xf numFmtId="0" fontId="23" fillId="8" borderId="9" xfId="0" applyFont="1" applyFill="1" applyBorder="1" applyAlignment="1" applyProtection="1">
      <alignment horizontal="center" vertical="center"/>
    </xf>
    <xf numFmtId="0" fontId="23" fillId="8" borderId="10" xfId="0" applyFont="1" applyFill="1" applyBorder="1" applyAlignment="1" applyProtection="1">
      <alignment horizontal="center" vertical="center"/>
    </xf>
    <xf numFmtId="0" fontId="23" fillId="0" borderId="11" xfId="0" applyFont="1" applyBorder="1" applyAlignment="1" applyProtection="1">
      <alignment horizontal="center" vertical="center"/>
    </xf>
    <xf numFmtId="0" fontId="0" fillId="0" borderId="11" xfId="0" applyBorder="1" applyAlignment="1" applyProtection="1">
      <alignment horizontal="center" vertical="center"/>
    </xf>
    <xf numFmtId="0" fontId="23" fillId="0" borderId="12" xfId="0" applyNumberFormat="1" applyFont="1" applyBorder="1" applyAlignment="1" applyProtection="1">
      <alignment horizontal="center" vertical="center"/>
    </xf>
    <xf numFmtId="0" fontId="0" fillId="0" borderId="10" xfId="0" applyBorder="1" applyProtection="1"/>
    <xf numFmtId="0" fontId="23" fillId="0" borderId="11" xfId="0" applyFont="1" applyBorder="1" applyAlignment="1" applyProtection="1">
      <alignment horizontal="left" vertical="center"/>
    </xf>
    <xf numFmtId="0" fontId="0" fillId="0" borderId="11" xfId="0" applyBorder="1" applyAlignment="1" applyProtection="1">
      <alignment horizontal="left" vertical="center"/>
    </xf>
    <xf numFmtId="165" fontId="26" fillId="0" borderId="11" xfId="0" applyNumberFormat="1" applyFont="1" applyBorder="1" applyAlignment="1" applyProtection="1">
      <alignment horizontal="right" vertical="center"/>
    </xf>
    <xf numFmtId="165" fontId="26" fillId="0" borderId="10" xfId="0" applyNumberFormat="1" applyFont="1" applyBorder="1" applyAlignment="1" applyProtection="1">
      <alignment horizontal="right" vertical="center"/>
    </xf>
    <xf numFmtId="0" fontId="23" fillId="0" borderId="19"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3" fillId="9" borderId="19" xfId="0" applyFont="1" applyFill="1" applyBorder="1" applyAlignment="1" applyProtection="1">
      <alignment horizontal="center" vertical="center"/>
    </xf>
    <xf numFmtId="0" fontId="23" fillId="9" borderId="11" xfId="0" applyFont="1" applyFill="1" applyBorder="1" applyAlignment="1" applyProtection="1">
      <alignment horizontal="center" vertical="center"/>
    </xf>
    <xf numFmtId="0" fontId="23" fillId="8" borderId="15" xfId="0" applyFont="1" applyFill="1" applyBorder="1" applyAlignment="1" applyProtection="1">
      <alignment horizontal="center" vertical="center"/>
    </xf>
    <xf numFmtId="0" fontId="21" fillId="0" borderId="19" xfId="0" applyFont="1" applyBorder="1" applyAlignment="1" applyProtection="1">
      <alignment horizontal="left" vertical="center" wrapText="1"/>
    </xf>
    <xf numFmtId="0" fontId="21" fillId="0" borderId="11" xfId="0" applyFont="1" applyBorder="1" applyAlignment="1" applyProtection="1">
      <alignment horizontal="left" vertical="center" wrapText="1"/>
    </xf>
    <xf numFmtId="0" fontId="21" fillId="0" borderId="8" xfId="0" applyFont="1" applyBorder="1" applyAlignment="1" applyProtection="1">
      <alignment horizontal="left" vertical="center" wrapText="1"/>
    </xf>
    <xf numFmtId="0" fontId="21" fillId="0" borderId="9" xfId="0" applyFont="1" applyBorder="1" applyAlignment="1" applyProtection="1">
      <alignment horizontal="left" vertical="center" wrapText="1"/>
    </xf>
    <xf numFmtId="0" fontId="21" fillId="0" borderId="10" xfId="0" applyFont="1" applyBorder="1" applyAlignment="1" applyProtection="1">
      <alignment horizontal="left" vertical="center" wrapText="1"/>
    </xf>
    <xf numFmtId="0" fontId="23" fillId="0" borderId="19" xfId="0" applyFont="1" applyBorder="1" applyAlignment="1" applyProtection="1">
      <alignment horizontal="center" vertical="center" wrapText="1"/>
    </xf>
    <xf numFmtId="0" fontId="0" fillId="0" borderId="11" xfId="0" applyBorder="1" applyProtection="1"/>
    <xf numFmtId="0" fontId="0" fillId="0" borderId="19" xfId="0" applyBorder="1" applyProtection="1"/>
    <xf numFmtId="0" fontId="27" fillId="0" borderId="11" xfId="0" applyFont="1" applyBorder="1" applyAlignment="1" applyProtection="1">
      <alignment horizontal="center" vertical="center" wrapText="1"/>
    </xf>
    <xf numFmtId="0" fontId="28" fillId="0" borderId="11" xfId="0" applyFont="1" applyBorder="1" applyAlignment="1" applyProtection="1">
      <alignment horizontal="center" wrapText="1"/>
    </xf>
    <xf numFmtId="0" fontId="24" fillId="0" borderId="11" xfId="0" applyFont="1" applyBorder="1" applyAlignment="1" applyProtection="1">
      <alignment horizontal="center" vertical="top"/>
    </xf>
    <xf numFmtId="0" fontId="21" fillId="0" borderId="19" xfId="0" applyFont="1" applyBorder="1" applyAlignment="1" applyProtection="1">
      <alignment horizontal="center" vertical="center" wrapText="1"/>
    </xf>
    <xf numFmtId="0" fontId="0" fillId="0" borderId="11" xfId="0" applyBorder="1" applyAlignment="1" applyProtection="1">
      <alignment horizontal="center" vertical="center" wrapText="1"/>
    </xf>
    <xf numFmtId="165" fontId="0" fillId="0" borderId="11" xfId="0" applyNumberFormat="1" applyBorder="1" applyAlignment="1" applyProtection="1">
      <alignment horizontal="right" vertical="center"/>
    </xf>
    <xf numFmtId="0" fontId="23" fillId="0" borderId="12" xfId="0" applyFont="1" applyFill="1" applyBorder="1" applyAlignment="1" applyProtection="1">
      <alignment horizontal="center"/>
    </xf>
    <xf numFmtId="0" fontId="23" fillId="0" borderId="9" xfId="0" applyFont="1" applyFill="1" applyBorder="1" applyAlignment="1" applyProtection="1">
      <alignment horizontal="center"/>
    </xf>
    <xf numFmtId="0" fontId="23" fillId="0" borderId="10" xfId="0" applyFont="1" applyFill="1" applyBorder="1" applyAlignment="1" applyProtection="1">
      <alignment horizontal="center"/>
    </xf>
    <xf numFmtId="165" fontId="26" fillId="0" borderId="10" xfId="0" applyNumberFormat="1" applyFont="1" applyFill="1" applyBorder="1" applyAlignment="1" applyProtection="1">
      <alignment horizontal="right" vertical="center"/>
    </xf>
    <xf numFmtId="0" fontId="23" fillId="0" borderId="19" xfId="0" applyFont="1" applyFill="1" applyBorder="1" applyAlignment="1" applyProtection="1">
      <alignment horizontal="right" vertical="center" wrapText="1"/>
    </xf>
    <xf numFmtId="0" fontId="0" fillId="0" borderId="11" xfId="0" applyFill="1" applyBorder="1" applyAlignment="1" applyProtection="1">
      <alignment horizontal="right" vertical="center" wrapText="1"/>
    </xf>
    <xf numFmtId="165" fontId="14" fillId="0" borderId="11" xfId="0" applyNumberFormat="1" applyFont="1" applyFill="1" applyBorder="1" applyAlignment="1" applyProtection="1">
      <alignment horizontal="right" vertical="center"/>
    </xf>
    <xf numFmtId="0" fontId="23" fillId="0" borderId="12" xfId="0" applyFont="1" applyBorder="1" applyAlignment="1" applyProtection="1">
      <alignment horizontal="center"/>
    </xf>
    <xf numFmtId="0" fontId="23" fillId="0" borderId="9" xfId="0" applyFont="1" applyBorder="1" applyAlignment="1" applyProtection="1">
      <alignment horizontal="center"/>
    </xf>
    <xf numFmtId="0" fontId="23" fillId="0" borderId="10" xfId="0" applyFont="1" applyBorder="1" applyAlignment="1" applyProtection="1">
      <alignment horizontal="center"/>
    </xf>
    <xf numFmtId="0" fontId="17" fillId="0" borderId="11" xfId="0" applyFont="1" applyBorder="1" applyAlignment="1" applyProtection="1">
      <alignment horizontal="left" vertical="center" wrapText="1"/>
    </xf>
    <xf numFmtId="0" fontId="17" fillId="0" borderId="67" xfId="0" applyFont="1" applyBorder="1" applyAlignment="1" applyProtection="1">
      <alignment horizontal="left" vertical="center" wrapText="1"/>
    </xf>
    <xf numFmtId="0" fontId="17" fillId="0" borderId="72" xfId="0" applyFont="1" applyBorder="1" applyAlignment="1" applyProtection="1">
      <alignment horizontal="left" vertical="center" wrapText="1"/>
    </xf>
    <xf numFmtId="0" fontId="23" fillId="0" borderId="67" xfId="0" applyFont="1" applyBorder="1" applyAlignment="1" applyProtection="1">
      <alignment horizontal="left" vertical="center"/>
    </xf>
    <xf numFmtId="0" fontId="23" fillId="0" borderId="72" xfId="0" applyFont="1" applyBorder="1" applyAlignment="1" applyProtection="1">
      <alignment horizontal="left" vertical="center"/>
    </xf>
    <xf numFmtId="0" fontId="17" fillId="0" borderId="67" xfId="0" applyFont="1" applyBorder="1" applyAlignment="1" applyProtection="1">
      <alignment horizontal="left" vertical="center"/>
    </xf>
    <xf numFmtId="0" fontId="17" fillId="0" borderId="72" xfId="0" applyFont="1" applyBorder="1" applyAlignment="1" applyProtection="1">
      <alignment horizontal="left" vertical="center"/>
    </xf>
    <xf numFmtId="0" fontId="23" fillId="0" borderId="19" xfId="0" applyFont="1" applyBorder="1" applyAlignment="1" applyProtection="1">
      <alignment horizontal="left" vertical="center"/>
    </xf>
    <xf numFmtId="0" fontId="23" fillId="10" borderId="19" xfId="0" applyFont="1" applyFill="1" applyBorder="1" applyAlignment="1" applyProtection="1">
      <alignment horizontal="center" vertical="center"/>
    </xf>
    <xf numFmtId="0" fontId="23" fillId="10" borderId="11" xfId="0" applyFont="1" applyFill="1" applyBorder="1" applyAlignment="1" applyProtection="1">
      <alignment horizontal="center" vertical="center"/>
    </xf>
    <xf numFmtId="165" fontId="14" fillId="0" borderId="11" xfId="0" applyNumberFormat="1" applyFont="1" applyBorder="1" applyAlignment="1" applyProtection="1">
      <alignment horizontal="right" vertical="center"/>
    </xf>
    <xf numFmtId="0" fontId="23" fillId="10" borderId="28" xfId="0" applyFont="1" applyFill="1" applyBorder="1" applyAlignment="1" applyProtection="1">
      <alignment horizontal="center" vertical="center"/>
    </xf>
    <xf numFmtId="0" fontId="23" fillId="10" borderId="29" xfId="0" applyFont="1" applyFill="1" applyBorder="1" applyAlignment="1" applyProtection="1">
      <alignment horizontal="center" vertical="center"/>
    </xf>
    <xf numFmtId="165" fontId="14" fillId="10" borderId="29" xfId="0" applyNumberFormat="1" applyFont="1" applyFill="1" applyBorder="1" applyAlignment="1" applyProtection="1">
      <alignment horizontal="right" vertical="center"/>
    </xf>
    <xf numFmtId="0" fontId="23" fillId="8" borderId="19" xfId="0" applyFont="1" applyFill="1" applyBorder="1" applyAlignment="1" applyProtection="1">
      <alignment horizontal="left" vertical="center"/>
    </xf>
    <xf numFmtId="0" fontId="0" fillId="8" borderId="11" xfId="0" applyFill="1" applyBorder="1" applyAlignment="1" applyProtection="1">
      <alignment horizontal="left" vertical="center"/>
    </xf>
    <xf numFmtId="165" fontId="14" fillId="8" borderId="11" xfId="0" applyNumberFormat="1" applyFont="1" applyFill="1" applyBorder="1" applyAlignment="1" applyProtection="1">
      <alignment horizontal="right" vertical="center"/>
    </xf>
    <xf numFmtId="0" fontId="0" fillId="0" borderId="8" xfId="0" applyBorder="1" applyAlignment="1" applyProtection="1">
      <alignment horizontal="center" vertic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21" xfId="0" applyBorder="1" applyAlignment="1" applyProtection="1">
      <alignment horizontal="center"/>
    </xf>
    <xf numFmtId="0" fontId="0" fillId="0" borderId="26" xfId="0" applyBorder="1" applyAlignment="1" applyProtection="1">
      <alignment horizontal="center"/>
    </xf>
    <xf numFmtId="0" fontId="0" fillId="0" borderId="22" xfId="0" applyBorder="1" applyAlignment="1" applyProtection="1">
      <alignment horizontal="center"/>
    </xf>
    <xf numFmtId="0" fontId="0" fillId="0" borderId="27" xfId="0" applyBorder="1" applyAlignment="1" applyProtection="1">
      <alignment horizontal="center"/>
    </xf>
    <xf numFmtId="0" fontId="23" fillId="8" borderId="19" xfId="0" applyFont="1" applyFill="1" applyBorder="1" applyAlignment="1" applyProtection="1">
      <alignment horizontal="center" vertical="center"/>
    </xf>
    <xf numFmtId="0" fontId="0" fillId="8" borderId="11" xfId="0" applyFill="1" applyBorder="1" applyAlignment="1" applyProtection="1">
      <alignment horizontal="center" vertical="center"/>
    </xf>
    <xf numFmtId="0" fontId="23" fillId="8" borderId="11" xfId="0" applyNumberFormat="1" applyFont="1" applyFill="1" applyBorder="1" applyAlignment="1" applyProtection="1">
      <alignment horizontal="center" vertical="center"/>
    </xf>
    <xf numFmtId="0" fontId="0" fillId="8" borderId="11" xfId="0" applyNumberFormat="1" applyFill="1" applyBorder="1" applyAlignment="1" applyProtection="1">
      <alignment horizontal="center" vertical="center"/>
    </xf>
    <xf numFmtId="0" fontId="17" fillId="3" borderId="8" xfId="0" applyFont="1" applyFill="1" applyBorder="1" applyAlignment="1" applyProtection="1">
      <alignment horizontal="left" vertical="center" wrapText="1"/>
    </xf>
    <xf numFmtId="0" fontId="0" fillId="3" borderId="9" xfId="0" applyFill="1" applyBorder="1" applyAlignment="1" applyProtection="1">
      <alignment horizontal="left" vertical="center" wrapText="1"/>
    </xf>
    <xf numFmtId="0" fontId="0" fillId="3" borderId="10" xfId="0" applyFill="1" applyBorder="1" applyAlignment="1" applyProtection="1">
      <alignment horizontal="left" vertical="center" wrapText="1"/>
    </xf>
    <xf numFmtId="4" fontId="0" fillId="0" borderId="10" xfId="0" applyNumberFormat="1" applyFill="1" applyBorder="1" applyAlignment="1" applyProtection="1">
      <alignment horizontal="right"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18" xfId="0" applyFont="1" applyFill="1" applyBorder="1" applyAlignment="1" applyProtection="1">
      <alignment horizontal="center" vertical="center"/>
    </xf>
    <xf numFmtId="0" fontId="23" fillId="7" borderId="8" xfId="0" applyFont="1" applyFill="1" applyBorder="1" applyAlignment="1" applyProtection="1">
      <alignment horizontal="right" vertical="center"/>
    </xf>
    <xf numFmtId="0" fontId="23" fillId="7" borderId="9" xfId="0" applyFont="1" applyFill="1" applyBorder="1" applyAlignment="1" applyProtection="1">
      <alignment horizontal="right" vertical="center"/>
    </xf>
    <xf numFmtId="0" fontId="23" fillId="7" borderId="10" xfId="0" applyFont="1" applyFill="1" applyBorder="1" applyAlignment="1" applyProtection="1">
      <alignment horizontal="right" vertical="center"/>
    </xf>
    <xf numFmtId="165" fontId="14" fillId="7" borderId="12" xfId="0" applyNumberFormat="1" applyFont="1" applyFill="1" applyBorder="1" applyAlignment="1" applyProtection="1">
      <alignment horizontal="right" vertical="center"/>
    </xf>
    <xf numFmtId="165" fontId="14" fillId="7" borderId="15" xfId="0" applyNumberFormat="1" applyFont="1" applyFill="1" applyBorder="1" applyAlignment="1" applyProtection="1">
      <alignment horizontal="right" vertical="center"/>
    </xf>
    <xf numFmtId="0" fontId="0" fillId="7" borderId="9" xfId="0" applyFill="1" applyBorder="1" applyAlignment="1" applyProtection="1">
      <alignment horizontal="right" vertical="center"/>
    </xf>
    <xf numFmtId="0" fontId="0" fillId="7" borderId="10" xfId="0" applyFill="1" applyBorder="1" applyAlignment="1" applyProtection="1">
      <alignment horizontal="right" vertical="center"/>
    </xf>
    <xf numFmtId="0" fontId="14" fillId="7" borderId="15" xfId="0" applyFont="1" applyFill="1" applyBorder="1" applyAlignment="1" applyProtection="1">
      <alignment horizontal="right" vertical="center"/>
    </xf>
    <xf numFmtId="0" fontId="25" fillId="5" borderId="20" xfId="0" applyFont="1" applyFill="1" applyBorder="1" applyAlignment="1" applyProtection="1">
      <alignment horizontal="justify" vertical="center" wrapText="1"/>
    </xf>
    <xf numFmtId="0" fontId="0" fillId="5" borderId="17" xfId="0" applyFill="1" applyBorder="1" applyAlignment="1" applyProtection="1">
      <alignment horizontal="justify" vertical="center" wrapText="1"/>
    </xf>
    <xf numFmtId="0" fontId="0" fillId="5" borderId="21" xfId="0" applyFill="1" applyBorder="1" applyAlignment="1" applyProtection="1">
      <alignment horizontal="justify" vertical="center" wrapText="1"/>
    </xf>
    <xf numFmtId="0" fontId="25" fillId="0" borderId="12" xfId="0" applyFont="1" applyFill="1" applyBorder="1" applyAlignment="1" applyProtection="1">
      <alignment horizontal="justify" vertical="center"/>
    </xf>
    <xf numFmtId="0" fontId="0" fillId="0" borderId="9" xfId="0" applyFill="1" applyBorder="1" applyAlignment="1" applyProtection="1">
      <alignment horizontal="justify" vertical="center"/>
    </xf>
    <xf numFmtId="0" fontId="0" fillId="0" borderId="10" xfId="0" applyFill="1" applyBorder="1" applyAlignment="1" applyProtection="1">
      <alignment horizontal="justify" vertical="center"/>
    </xf>
    <xf numFmtId="0" fontId="17" fillId="5" borderId="12" xfId="0" applyFont="1" applyFill="1" applyBorder="1" applyAlignment="1" applyProtection="1">
      <alignment horizontal="left" vertical="center"/>
    </xf>
    <xf numFmtId="0" fontId="0" fillId="5" borderId="9" xfId="0" applyFill="1" applyBorder="1" applyAlignment="1" applyProtection="1">
      <alignment horizontal="left" vertical="center"/>
    </xf>
    <xf numFmtId="0" fontId="0" fillId="5" borderId="10" xfId="0" applyFill="1" applyBorder="1" applyAlignment="1" applyProtection="1">
      <alignment horizontal="left" vertical="center"/>
    </xf>
    <xf numFmtId="0" fontId="0" fillId="5" borderId="75" xfId="0" applyFill="1" applyBorder="1" applyAlignment="1" applyProtection="1">
      <alignment horizontal="right" vertical="center"/>
    </xf>
    <xf numFmtId="165" fontId="14" fillId="0" borderId="68" xfId="0" applyNumberFormat="1" applyFont="1" applyBorder="1" applyAlignment="1" applyProtection="1">
      <alignment horizontal="right" vertical="center"/>
    </xf>
    <xf numFmtId="165" fontId="14" fillId="0" borderId="75" xfId="0" applyNumberFormat="1" applyFont="1" applyBorder="1" applyAlignment="1" applyProtection="1">
      <alignment horizontal="right" vertical="center"/>
    </xf>
    <xf numFmtId="0" fontId="15" fillId="0" borderId="67" xfId="0" applyFont="1" applyBorder="1" applyAlignment="1" applyProtection="1">
      <alignment horizontal="right" vertical="center"/>
    </xf>
    <xf numFmtId="0" fontId="15" fillId="0" borderId="72" xfId="0" applyFont="1" applyBorder="1" applyAlignment="1" applyProtection="1">
      <alignment horizontal="right" vertical="center"/>
    </xf>
    <xf numFmtId="0" fontId="25" fillId="5" borderId="12" xfId="0" applyFont="1" applyFill="1" applyBorder="1" applyAlignment="1" applyProtection="1">
      <alignment horizontal="justify" vertical="center" wrapText="1"/>
    </xf>
    <xf numFmtId="0" fontId="25" fillId="5" borderId="67" xfId="0" applyFont="1" applyFill="1" applyBorder="1" applyAlignment="1" applyProtection="1">
      <alignment horizontal="justify" vertical="center" wrapText="1"/>
    </xf>
    <xf numFmtId="0" fontId="25" fillId="5" borderId="72" xfId="0" applyFont="1" applyFill="1" applyBorder="1" applyAlignment="1" applyProtection="1">
      <alignment horizontal="justify" vertical="center" wrapText="1"/>
    </xf>
    <xf numFmtId="0" fontId="25" fillId="0" borderId="67" xfId="0" applyFont="1" applyFill="1" applyBorder="1" applyAlignment="1" applyProtection="1">
      <alignment horizontal="justify" vertical="center"/>
    </xf>
    <xf numFmtId="0" fontId="25" fillId="0" borderId="72" xfId="0" applyFont="1" applyFill="1" applyBorder="1" applyAlignment="1" applyProtection="1">
      <alignment horizontal="justify" vertical="center"/>
    </xf>
    <xf numFmtId="0" fontId="17" fillId="0" borderId="67" xfId="0" applyFont="1" applyBorder="1" applyAlignment="1" applyProtection="1">
      <alignment horizontal="justify" vertical="center" wrapText="1"/>
    </xf>
    <xf numFmtId="0" fontId="17" fillId="0" borderId="72" xfId="0" applyFont="1" applyBorder="1" applyAlignment="1" applyProtection="1">
      <alignment horizontal="justify" vertical="center" wrapText="1"/>
    </xf>
    <xf numFmtId="0" fontId="12" fillId="0" borderId="0" xfId="0" applyFont="1" applyBorder="1" applyAlignment="1" applyProtection="1">
      <alignment horizontal="center" vertical="center" textRotation="90"/>
    </xf>
    <xf numFmtId="0" fontId="13" fillId="0" borderId="0" xfId="0" applyFont="1" applyBorder="1" applyAlignment="1" applyProtection="1">
      <alignment horizontal="center" vertical="center" textRotation="90"/>
    </xf>
    <xf numFmtId="0" fontId="0" fillId="11" borderId="67" xfId="0" applyFill="1" applyBorder="1" applyAlignment="1" applyProtection="1">
      <alignment horizontal="center"/>
    </xf>
    <xf numFmtId="0" fontId="0" fillId="11" borderId="70" xfId="0" applyFill="1" applyBorder="1" applyAlignment="1" applyProtection="1">
      <alignment horizontal="center"/>
    </xf>
    <xf numFmtId="0" fontId="0" fillId="11" borderId="71" xfId="0" applyFill="1" applyBorder="1" applyAlignment="1" applyProtection="1">
      <alignment horizontal="center"/>
    </xf>
    <xf numFmtId="0" fontId="3" fillId="0" borderId="7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1" xfId="0" applyFont="1" applyBorder="1" applyAlignment="1">
      <alignment horizontal="center" vertical="center" wrapText="1"/>
    </xf>
    <xf numFmtId="0" fontId="50" fillId="17" borderId="51" xfId="0" applyFont="1" applyFill="1" applyBorder="1" applyAlignment="1">
      <alignment horizontal="right" vertical="center"/>
    </xf>
    <xf numFmtId="0" fontId="50" fillId="16" borderId="41" xfId="0" applyFont="1" applyFill="1" applyBorder="1" applyAlignment="1" applyProtection="1">
      <alignment horizontal="center" vertical="center" wrapText="1"/>
      <protection locked="0"/>
    </xf>
    <xf numFmtId="0" fontId="0" fillId="17" borderId="41" xfId="0" applyFont="1" applyFill="1" applyBorder="1" applyAlignment="1" applyProtection="1">
      <alignment horizontal="center" vertical="center" wrapText="1"/>
    </xf>
    <xf numFmtId="0" fontId="50" fillId="17" borderId="48" xfId="0" applyFont="1" applyFill="1" applyBorder="1" applyAlignment="1">
      <alignment horizontal="center" vertical="center"/>
    </xf>
    <xf numFmtId="0" fontId="0" fillId="17" borderId="41" xfId="0" applyFont="1" applyFill="1" applyBorder="1" applyAlignment="1">
      <alignment horizontal="center" vertical="center"/>
    </xf>
    <xf numFmtId="0" fontId="0" fillId="17" borderId="41" xfId="0" applyFont="1" applyFill="1" applyBorder="1" applyAlignment="1">
      <alignment horizontal="center" vertical="center" wrapText="1"/>
    </xf>
    <xf numFmtId="0" fontId="37" fillId="14" borderId="9" xfId="4" applyFont="1" applyFill="1" applyBorder="1" applyAlignment="1">
      <alignment horizontal="center" vertical="center"/>
    </xf>
    <xf numFmtId="49" fontId="26" fillId="5" borderId="2" xfId="5" applyNumberFormat="1" applyFont="1" applyFill="1" applyBorder="1" applyAlignment="1">
      <alignment horizontal="center" vertical="center" wrapText="1"/>
    </xf>
    <xf numFmtId="0" fontId="28" fillId="5" borderId="17" xfId="5" applyFont="1" applyFill="1" applyBorder="1" applyAlignment="1">
      <alignment horizontal="left" vertical="top" wrapText="1"/>
    </xf>
    <xf numFmtId="0" fontId="28" fillId="5" borderId="0" xfId="5" applyFont="1" applyFill="1" applyBorder="1" applyAlignment="1">
      <alignment horizontal="left" vertical="top" wrapText="1"/>
    </xf>
    <xf numFmtId="0" fontId="28" fillId="5" borderId="0" xfId="5" applyFont="1" applyFill="1" applyBorder="1" applyAlignment="1">
      <alignment horizontal="left" vertical="top"/>
    </xf>
    <xf numFmtId="49" fontId="32" fillId="5" borderId="12" xfId="5" applyNumberFormat="1" applyFont="1" applyFill="1" applyBorder="1" applyAlignment="1">
      <alignment horizontal="center" vertical="center" wrapText="1"/>
    </xf>
    <xf numFmtId="49" fontId="32" fillId="5" borderId="9" xfId="5" applyNumberFormat="1" applyFont="1" applyFill="1" applyBorder="1" applyAlignment="1">
      <alignment horizontal="center" vertical="center" wrapText="1"/>
    </xf>
    <xf numFmtId="0" fontId="5" fillId="14" borderId="12" xfId="4" applyFont="1" applyFill="1" applyBorder="1" applyAlignment="1">
      <alignment horizontal="center" vertical="center" wrapText="1"/>
    </xf>
    <xf numFmtId="0" fontId="5" fillId="14" borderId="9" xfId="4" applyFont="1" applyFill="1" applyBorder="1" applyAlignment="1">
      <alignment horizontal="center" vertical="center" wrapText="1"/>
    </xf>
    <xf numFmtId="0" fontId="4" fillId="13" borderId="17" xfId="4" applyFont="1" applyFill="1" applyBorder="1" applyAlignment="1">
      <alignment horizontal="center"/>
    </xf>
    <xf numFmtId="0" fontId="2" fillId="11" borderId="11" xfId="0" applyFont="1" applyFill="1" applyBorder="1" applyAlignment="1">
      <alignment horizontal="center"/>
    </xf>
    <xf numFmtId="0" fontId="2" fillId="0" borderId="0" xfId="0" applyFont="1" applyAlignment="1">
      <alignment horizontal="center" vertical="center"/>
    </xf>
    <xf numFmtId="0" fontId="0" fillId="0" borderId="67" xfId="0" applyBorder="1" applyAlignment="1">
      <alignment horizontal="left" vertical="top" wrapText="1"/>
    </xf>
    <xf numFmtId="0" fontId="0" fillId="0" borderId="70" xfId="0" applyBorder="1" applyAlignment="1">
      <alignment horizontal="left" vertical="top" wrapText="1"/>
    </xf>
    <xf numFmtId="0" fontId="2" fillId="8" borderId="67" xfId="0" applyFont="1" applyFill="1" applyBorder="1" applyAlignment="1">
      <alignment horizontal="left" vertical="top" wrapText="1"/>
    </xf>
    <xf numFmtId="0" fontId="2" fillId="8" borderId="70" xfId="0" applyFont="1" applyFill="1" applyBorder="1" applyAlignment="1">
      <alignment horizontal="left" vertical="top" wrapText="1"/>
    </xf>
    <xf numFmtId="0" fontId="2" fillId="11" borderId="68" xfId="0" applyFont="1" applyFill="1" applyBorder="1" applyAlignment="1">
      <alignment horizontal="center"/>
    </xf>
    <xf numFmtId="0" fontId="2" fillId="11" borderId="67" xfId="0" applyFont="1" applyFill="1" applyBorder="1" applyAlignment="1">
      <alignment horizontal="center"/>
    </xf>
    <xf numFmtId="0" fontId="0" fillId="0" borderId="70" xfId="0" applyBorder="1" applyAlignment="1">
      <alignment horizontal="left" vertical="top"/>
    </xf>
    <xf numFmtId="0" fontId="2" fillId="8" borderId="70" xfId="0" applyFont="1" applyFill="1" applyBorder="1" applyAlignment="1">
      <alignment horizontal="left" vertical="top"/>
    </xf>
    <xf numFmtId="0" fontId="0" fillId="0" borderId="11" xfId="0" applyBorder="1" applyAlignment="1">
      <alignment horizontal="center" vertical="center"/>
    </xf>
    <xf numFmtId="0" fontId="0" fillId="0" borderId="68" xfId="0" applyBorder="1" applyAlignment="1">
      <alignment horizontal="left"/>
    </xf>
    <xf numFmtId="0" fontId="0" fillId="0" borderId="72" xfId="0" applyBorder="1" applyAlignment="1">
      <alignment horizontal="left"/>
    </xf>
    <xf numFmtId="0" fontId="0" fillId="11" borderId="68" xfId="0" applyFill="1" applyBorder="1" applyAlignment="1">
      <alignment horizontal="center" vertical="center"/>
    </xf>
    <xf numFmtId="0" fontId="0" fillId="11" borderId="67" xfId="0" applyFill="1" applyBorder="1" applyAlignment="1">
      <alignment horizontal="center" vertical="center"/>
    </xf>
    <xf numFmtId="0" fontId="0" fillId="11" borderId="72" xfId="0" applyFill="1" applyBorder="1" applyAlignment="1">
      <alignment horizontal="center" vertical="center"/>
    </xf>
    <xf numFmtId="0" fontId="0" fillId="0" borderId="11" xfId="0" applyBorder="1" applyAlignment="1">
      <alignment horizontal="center"/>
    </xf>
    <xf numFmtId="0" fontId="0" fillId="11" borderId="11" xfId="0" applyFill="1" applyBorder="1" applyAlignment="1">
      <alignment horizontal="center" vertical="center"/>
    </xf>
    <xf numFmtId="0" fontId="0" fillId="0" borderId="11" xfId="0" applyBorder="1" applyAlignment="1">
      <alignment horizontal="left"/>
    </xf>
    <xf numFmtId="0" fontId="0" fillId="0" borderId="11" xfId="0" applyBorder="1" applyAlignment="1">
      <alignment horizontal="left" wrapText="1"/>
    </xf>
    <xf numFmtId="0" fontId="0" fillId="11" borderId="0" xfId="0" applyFill="1" applyAlignment="1">
      <alignment horizontal="center" vertical="center"/>
    </xf>
    <xf numFmtId="0" fontId="0" fillId="0" borderId="11" xfId="0" applyBorder="1" applyAlignment="1">
      <alignment horizontal="center" vertical="center" wrapText="1"/>
    </xf>
    <xf numFmtId="0" fontId="0" fillId="8" borderId="0" xfId="0" applyFill="1" applyAlignment="1">
      <alignment horizontal="center" vertical="top" wrapText="1"/>
    </xf>
    <xf numFmtId="0" fontId="15" fillId="24" borderId="67" xfId="0" applyFont="1" applyFill="1" applyBorder="1" applyAlignment="1" applyProtection="1">
      <alignment horizontal="center" vertical="center" wrapText="1"/>
      <protection locked="0"/>
    </xf>
    <xf numFmtId="0" fontId="15" fillId="24" borderId="72" xfId="0" applyFont="1" applyFill="1" applyBorder="1" applyAlignment="1" applyProtection="1">
      <alignment horizontal="center" vertical="center" wrapText="1"/>
      <protection locked="0"/>
    </xf>
    <xf numFmtId="0" fontId="23" fillId="0" borderId="12" xfId="0" applyFont="1" applyBorder="1" applyAlignment="1" applyProtection="1">
      <alignment horizontal="left"/>
    </xf>
    <xf numFmtId="0" fontId="23" fillId="0" borderId="9" xfId="0" applyFont="1" applyBorder="1" applyAlignment="1" applyProtection="1">
      <alignment horizontal="left"/>
    </xf>
    <xf numFmtId="0" fontId="23" fillId="0" borderId="10" xfId="0" applyFont="1" applyBorder="1" applyAlignment="1" applyProtection="1">
      <alignment horizontal="left"/>
    </xf>
    <xf numFmtId="10" fontId="0" fillId="5" borderId="12" xfId="0" applyNumberFormat="1" applyFill="1" applyBorder="1" applyAlignment="1" applyProtection="1">
      <alignment horizontal="center" vertical="center"/>
    </xf>
    <xf numFmtId="10" fontId="0" fillId="5" borderId="10" xfId="0" applyNumberFormat="1" applyFill="1" applyBorder="1" applyAlignment="1" applyProtection="1">
      <alignment horizontal="center" vertical="center"/>
    </xf>
    <xf numFmtId="10" fontId="18" fillId="5" borderId="12" xfId="0" applyNumberFormat="1" applyFont="1" applyFill="1" applyBorder="1" applyAlignment="1" applyProtection="1">
      <alignment horizontal="center" vertical="center"/>
    </xf>
    <xf numFmtId="10" fontId="18" fillId="5" borderId="10" xfId="0" applyNumberFormat="1" applyFont="1" applyFill="1" applyBorder="1" applyAlignment="1" applyProtection="1">
      <alignment horizontal="center" vertical="center"/>
    </xf>
    <xf numFmtId="10" fontId="18" fillId="5" borderId="12" xfId="0" applyNumberFormat="1" applyFont="1" applyFill="1" applyBorder="1" applyAlignment="1" applyProtection="1">
      <alignment horizontal="center"/>
    </xf>
    <xf numFmtId="10" fontId="18" fillId="5" borderId="10" xfId="0" applyNumberFormat="1" applyFont="1" applyFill="1" applyBorder="1" applyAlignment="1" applyProtection="1">
      <alignment horizontal="center"/>
    </xf>
    <xf numFmtId="10" fontId="18" fillId="5" borderId="12" xfId="0" quotePrefix="1" applyNumberFormat="1" applyFont="1" applyFill="1" applyBorder="1" applyAlignment="1" applyProtection="1">
      <alignment horizontal="center" vertical="center"/>
    </xf>
    <xf numFmtId="0" fontId="17" fillId="0" borderId="19" xfId="0" applyFont="1" applyBorder="1" applyAlignment="1" applyProtection="1">
      <alignment horizontal="right" vertical="center"/>
    </xf>
    <xf numFmtId="10" fontId="0" fillId="5" borderId="11" xfId="3" applyNumberFormat="1" applyFont="1" applyFill="1" applyBorder="1" applyAlignment="1" applyProtection="1">
      <alignment horizontal="center" vertical="center"/>
    </xf>
    <xf numFmtId="10" fontId="0" fillId="5" borderId="11" xfId="0" applyNumberFormat="1" applyFill="1" applyBorder="1" applyAlignment="1" applyProtection="1">
      <alignment horizontal="center" vertical="center"/>
    </xf>
    <xf numFmtId="165" fontId="0" fillId="5" borderId="12" xfId="0" applyNumberFormat="1" applyFill="1" applyBorder="1" applyAlignment="1" applyProtection="1">
      <alignment horizontal="right" vertical="center"/>
      <protection locked="0"/>
    </xf>
    <xf numFmtId="0" fontId="0" fillId="5" borderId="75" xfId="0" applyFill="1" applyBorder="1" applyAlignment="1" applyProtection="1">
      <alignment horizontal="right" vertical="center"/>
      <protection locked="0"/>
    </xf>
    <xf numFmtId="0" fontId="17" fillId="5" borderId="12" xfId="0" applyFont="1"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cellXfs>
  <cellStyles count="8">
    <cellStyle name="Moeda" xfId="2" builtinId="4"/>
    <cellStyle name="Normal" xfId="0" builtinId="0"/>
    <cellStyle name="Normal 3" xfId="4"/>
    <cellStyle name="Normal 4" xfId="5"/>
    <cellStyle name="Porcentagem" xfId="3" builtinId="5"/>
    <cellStyle name="Porcentagem 2" xfId="7"/>
    <cellStyle name="Porcentagem 3" xfId="6"/>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1</xdr:col>
      <xdr:colOff>9525</xdr:colOff>
      <xdr:row>28</xdr:row>
      <xdr:rowOff>200025</xdr:rowOff>
    </xdr:to>
    <xdr:sp macro="" textlink="">
      <xdr:nvSpPr>
        <xdr:cNvPr id="2" name="Text 13"/>
        <xdr:cNvSpPr txBox="1">
          <a:spLocks noChangeArrowheads="1"/>
        </xdr:cNvSpPr>
      </xdr:nvSpPr>
      <xdr:spPr bwMode="auto">
        <a:xfrm>
          <a:off x="7810500" y="6753225"/>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1152525</xdr:colOff>
      <xdr:row>30</xdr:row>
      <xdr:rowOff>0</xdr:rowOff>
    </xdr:from>
    <xdr:to>
      <xdr:col>8</xdr:col>
      <xdr:colOff>47625</xdr:colOff>
      <xdr:row>30</xdr:row>
      <xdr:rowOff>200025</xdr:rowOff>
    </xdr:to>
    <xdr:sp macro="" textlink="">
      <xdr:nvSpPr>
        <xdr:cNvPr id="3" name="Text 14"/>
        <xdr:cNvSpPr txBox="1">
          <a:spLocks noChangeArrowheads="1"/>
        </xdr:cNvSpPr>
      </xdr:nvSpPr>
      <xdr:spPr bwMode="auto">
        <a:xfrm>
          <a:off x="16602075" y="7181850"/>
          <a:ext cx="66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F15"/>
  <sheetViews>
    <sheetView zoomScale="145" zoomScaleNormal="145" workbookViewId="0">
      <selection activeCell="C7" sqref="C7"/>
    </sheetView>
  </sheetViews>
  <sheetFormatPr defaultRowHeight="15"/>
  <cols>
    <col min="1" max="1" width="5.28515625" style="210" bestFit="1" customWidth="1"/>
    <col min="2" max="2" width="38" customWidth="1"/>
    <col min="3" max="3" width="12.85546875" style="5" bestFit="1" customWidth="1"/>
    <col min="4" max="4" width="12.85546875" style="5" customWidth="1"/>
    <col min="5" max="5" width="16.42578125" style="113" bestFit="1" customWidth="1"/>
    <col min="6" max="6" width="16.140625" style="113" bestFit="1" customWidth="1"/>
  </cols>
  <sheetData>
    <row r="1" spans="1:6">
      <c r="A1" s="414" t="s">
        <v>548</v>
      </c>
      <c r="B1" s="415"/>
      <c r="C1" s="415"/>
      <c r="D1" s="415"/>
      <c r="E1" s="415"/>
      <c r="F1" s="416"/>
    </row>
    <row r="2" spans="1:6" s="211" customFormat="1">
      <c r="A2" s="306" t="s">
        <v>99</v>
      </c>
      <c r="B2" s="215" t="s">
        <v>205</v>
      </c>
      <c r="C2" s="216" t="s">
        <v>389</v>
      </c>
      <c r="D2" s="216" t="s">
        <v>394</v>
      </c>
      <c r="E2" s="217" t="s">
        <v>390</v>
      </c>
      <c r="F2" s="307" t="s">
        <v>340</v>
      </c>
    </row>
    <row r="3" spans="1:6">
      <c r="A3" s="308">
        <v>1</v>
      </c>
      <c r="B3" s="194" t="s">
        <v>550</v>
      </c>
      <c r="C3" s="197">
        <v>1</v>
      </c>
      <c r="D3" s="197" t="s">
        <v>395</v>
      </c>
      <c r="E3" s="214">
        <f>Encarregado!H112</f>
        <v>2352.0770926999612</v>
      </c>
      <c r="F3" s="309">
        <f>E3*C3</f>
        <v>2352.0770926999612</v>
      </c>
    </row>
    <row r="4" spans="1:6">
      <c r="A4" s="308">
        <v>2</v>
      </c>
      <c r="B4" s="194" t="s">
        <v>391</v>
      </c>
      <c r="C4" s="197">
        <v>20</v>
      </c>
      <c r="D4" s="197" t="s">
        <v>395</v>
      </c>
      <c r="E4" s="214">
        <f>ASG!H112</f>
        <v>2196.5744882843537</v>
      </c>
      <c r="F4" s="309">
        <f>E4*C4</f>
        <v>43931.489765687074</v>
      </c>
    </row>
    <row r="5" spans="1:6">
      <c r="A5" s="308">
        <v>3</v>
      </c>
      <c r="B5" s="194" t="s">
        <v>547</v>
      </c>
      <c r="C5" s="197">
        <v>2</v>
      </c>
      <c r="D5" s="197" t="s">
        <v>395</v>
      </c>
      <c r="E5" s="214">
        <f>E4/30*8</f>
        <v>585.75319687582771</v>
      </c>
      <c r="F5" s="309">
        <f t="shared" ref="F5:F7" si="0">E5*C5</f>
        <v>1171.5063937516554</v>
      </c>
    </row>
    <row r="6" spans="1:6">
      <c r="A6" s="308">
        <v>4</v>
      </c>
      <c r="B6" s="194" t="s">
        <v>393</v>
      </c>
      <c r="C6" s="197">
        <v>2</v>
      </c>
      <c r="D6" s="197" t="s">
        <v>395</v>
      </c>
      <c r="E6" s="214">
        <f>Copeira!H112</f>
        <v>2196.5744882843537</v>
      </c>
      <c r="F6" s="309">
        <f t="shared" si="0"/>
        <v>4393.1489765687074</v>
      </c>
    </row>
    <row r="7" spans="1:6">
      <c r="A7" s="308">
        <v>5</v>
      </c>
      <c r="B7" s="194" t="s">
        <v>546</v>
      </c>
      <c r="C7" s="197">
        <v>1</v>
      </c>
      <c r="D7" s="197" t="s">
        <v>395</v>
      </c>
      <c r="E7" s="214">
        <f>E6/30*8</f>
        <v>585.75319687582771</v>
      </c>
      <c r="F7" s="309">
        <f t="shared" si="0"/>
        <v>585.75319687582771</v>
      </c>
    </row>
    <row r="8" spans="1:6" s="7" customFormat="1">
      <c r="A8" s="310"/>
      <c r="B8" s="218"/>
      <c r="C8" s="219"/>
      <c r="D8" s="219"/>
      <c r="E8" s="223" t="s">
        <v>404</v>
      </c>
      <c r="F8" s="311">
        <f>SUM(F3:F7)</f>
        <v>52433.975425583223</v>
      </c>
    </row>
    <row r="9" spans="1:6" ht="15.75" thickBot="1">
      <c r="A9" s="312"/>
      <c r="B9" s="313"/>
      <c r="C9" s="314"/>
      <c r="D9" s="314"/>
      <c r="E9" s="315" t="s">
        <v>403</v>
      </c>
      <c r="F9" s="316">
        <f>F8*12</f>
        <v>629207.70510699868</v>
      </c>
    </row>
    <row r="10" spans="1:6" ht="15.75" thickBot="1"/>
    <row r="11" spans="1:6">
      <c r="A11" s="414" t="s">
        <v>549</v>
      </c>
      <c r="B11" s="415"/>
      <c r="C11" s="415"/>
      <c r="D11" s="415"/>
      <c r="E11" s="415"/>
      <c r="F11" s="416"/>
    </row>
    <row r="12" spans="1:6">
      <c r="A12" s="306" t="s">
        <v>99</v>
      </c>
      <c r="B12" s="215" t="s">
        <v>205</v>
      </c>
      <c r="C12" s="216" t="s">
        <v>389</v>
      </c>
      <c r="D12" s="216" t="s">
        <v>394</v>
      </c>
      <c r="E12" s="217" t="s">
        <v>390</v>
      </c>
      <c r="F12" s="307" t="s">
        <v>340</v>
      </c>
    </row>
    <row r="13" spans="1:6">
      <c r="A13" s="308">
        <v>1</v>
      </c>
      <c r="B13" s="194" t="s">
        <v>392</v>
      </c>
      <c r="C13" s="197">
        <v>1</v>
      </c>
      <c r="D13" s="197" t="s">
        <v>396</v>
      </c>
      <c r="E13" s="214">
        <f>Consumo!$O$42</f>
        <v>0</v>
      </c>
      <c r="F13" s="309">
        <f t="shared" ref="F13" si="1">E13*C13</f>
        <v>0</v>
      </c>
    </row>
    <row r="14" spans="1:6">
      <c r="A14" s="310"/>
      <c r="B14" s="218"/>
      <c r="C14" s="219"/>
      <c r="D14" s="219"/>
      <c r="E14" s="223" t="s">
        <v>404</v>
      </c>
      <c r="F14" s="311">
        <f>SUM(F13:F13)</f>
        <v>0</v>
      </c>
    </row>
    <row r="15" spans="1:6" ht="15.75" thickBot="1">
      <c r="A15" s="312"/>
      <c r="B15" s="313"/>
      <c r="C15" s="314"/>
      <c r="D15" s="314"/>
      <c r="E15" s="315" t="s">
        <v>403</v>
      </c>
      <c r="F15" s="316">
        <f>F14*12</f>
        <v>0</v>
      </c>
    </row>
  </sheetData>
  <mergeCells count="2">
    <mergeCell ref="A1:F1"/>
    <mergeCell ref="A11:F11"/>
  </mergeCells>
  <pageMargins left="0.511811024" right="0.511811024" top="0.78740157499999996" bottom="0.78740157499999996" header="0.31496062000000002" footer="0.31496062000000002"/>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I51"/>
  <sheetViews>
    <sheetView workbookViewId="0"/>
  </sheetViews>
  <sheetFormatPr defaultRowHeight="15"/>
  <cols>
    <col min="1" max="1" width="10.140625" style="99" customWidth="1"/>
    <col min="2" max="2" width="66.5703125" style="102" customWidth="1"/>
    <col min="3" max="3" width="15.140625" style="100" customWidth="1"/>
    <col min="4" max="4" width="15.140625" style="99" customWidth="1"/>
    <col min="5" max="6" width="9.140625" style="99"/>
    <col min="7" max="7" width="12.7109375" style="99" bestFit="1" customWidth="1"/>
    <col min="8" max="8" width="9.140625" style="99"/>
    <col min="9" max="9" width="12.7109375" style="99" bestFit="1" customWidth="1"/>
    <col min="10" max="256" width="9.140625" style="99"/>
    <col min="257" max="257" width="10.140625" style="99" customWidth="1"/>
    <col min="258" max="258" width="66.5703125" style="99" customWidth="1"/>
    <col min="259" max="260" width="15.140625" style="99" customWidth="1"/>
    <col min="261" max="262" width="9.140625" style="99"/>
    <col min="263" max="263" width="12.7109375" style="99" bestFit="1" customWidth="1"/>
    <col min="264" max="264" width="9.140625" style="99"/>
    <col min="265" max="265" width="12.7109375" style="99" bestFit="1" customWidth="1"/>
    <col min="266" max="512" width="9.140625" style="99"/>
    <col min="513" max="513" width="10.140625" style="99" customWidth="1"/>
    <col min="514" max="514" width="66.5703125" style="99" customWidth="1"/>
    <col min="515" max="516" width="15.140625" style="99" customWidth="1"/>
    <col min="517" max="518" width="9.140625" style="99"/>
    <col min="519" max="519" width="12.7109375" style="99" bestFit="1" customWidth="1"/>
    <col min="520" max="520" width="9.140625" style="99"/>
    <col min="521" max="521" width="12.7109375" style="99" bestFit="1" customWidth="1"/>
    <col min="522" max="768" width="9.140625" style="99"/>
    <col min="769" max="769" width="10.140625" style="99" customWidth="1"/>
    <col min="770" max="770" width="66.5703125" style="99" customWidth="1"/>
    <col min="771" max="772" width="15.140625" style="99" customWidth="1"/>
    <col min="773" max="774" width="9.140625" style="99"/>
    <col min="775" max="775" width="12.7109375" style="99" bestFit="1" customWidth="1"/>
    <col min="776" max="776" width="9.140625" style="99"/>
    <col min="777" max="777" width="12.7109375" style="99" bestFit="1" customWidth="1"/>
    <col min="778" max="1024" width="9.140625" style="99"/>
    <col min="1025" max="1025" width="10.140625" style="99" customWidth="1"/>
    <col min="1026" max="1026" width="66.5703125" style="99" customWidth="1"/>
    <col min="1027" max="1028" width="15.140625" style="99" customWidth="1"/>
    <col min="1029" max="1030" width="9.140625" style="99"/>
    <col min="1031" max="1031" width="12.7109375" style="99" bestFit="1" customWidth="1"/>
    <col min="1032" max="1032" width="9.140625" style="99"/>
    <col min="1033" max="1033" width="12.7109375" style="99" bestFit="1" customWidth="1"/>
    <col min="1034" max="1280" width="9.140625" style="99"/>
    <col min="1281" max="1281" width="10.140625" style="99" customWidth="1"/>
    <col min="1282" max="1282" width="66.5703125" style="99" customWidth="1"/>
    <col min="1283" max="1284" width="15.140625" style="99" customWidth="1"/>
    <col min="1285" max="1286" width="9.140625" style="99"/>
    <col min="1287" max="1287" width="12.7109375" style="99" bestFit="1" customWidth="1"/>
    <col min="1288" max="1288" width="9.140625" style="99"/>
    <col min="1289" max="1289" width="12.7109375" style="99" bestFit="1" customWidth="1"/>
    <col min="1290" max="1536" width="9.140625" style="99"/>
    <col min="1537" max="1537" width="10.140625" style="99" customWidth="1"/>
    <col min="1538" max="1538" width="66.5703125" style="99" customWidth="1"/>
    <col min="1539" max="1540" width="15.140625" style="99" customWidth="1"/>
    <col min="1541" max="1542" width="9.140625" style="99"/>
    <col min="1543" max="1543" width="12.7109375" style="99" bestFit="1" customWidth="1"/>
    <col min="1544" max="1544" width="9.140625" style="99"/>
    <col min="1545" max="1545" width="12.7109375" style="99" bestFit="1" customWidth="1"/>
    <col min="1546" max="1792" width="9.140625" style="99"/>
    <col min="1793" max="1793" width="10.140625" style="99" customWidth="1"/>
    <col min="1794" max="1794" width="66.5703125" style="99" customWidth="1"/>
    <col min="1795" max="1796" width="15.140625" style="99" customWidth="1"/>
    <col min="1797" max="1798" width="9.140625" style="99"/>
    <col min="1799" max="1799" width="12.7109375" style="99" bestFit="1" customWidth="1"/>
    <col min="1800" max="1800" width="9.140625" style="99"/>
    <col min="1801" max="1801" width="12.7109375" style="99" bestFit="1" customWidth="1"/>
    <col min="1802" max="2048" width="9.140625" style="99"/>
    <col min="2049" max="2049" width="10.140625" style="99" customWidth="1"/>
    <col min="2050" max="2050" width="66.5703125" style="99" customWidth="1"/>
    <col min="2051" max="2052" width="15.140625" style="99" customWidth="1"/>
    <col min="2053" max="2054" width="9.140625" style="99"/>
    <col min="2055" max="2055" width="12.7109375" style="99" bestFit="1" customWidth="1"/>
    <col min="2056" max="2056" width="9.140625" style="99"/>
    <col min="2057" max="2057" width="12.7109375" style="99" bestFit="1" customWidth="1"/>
    <col min="2058" max="2304" width="9.140625" style="99"/>
    <col min="2305" max="2305" width="10.140625" style="99" customWidth="1"/>
    <col min="2306" max="2306" width="66.5703125" style="99" customWidth="1"/>
    <col min="2307" max="2308" width="15.140625" style="99" customWidth="1"/>
    <col min="2309" max="2310" width="9.140625" style="99"/>
    <col min="2311" max="2311" width="12.7109375" style="99" bestFit="1" customWidth="1"/>
    <col min="2312" max="2312" width="9.140625" style="99"/>
    <col min="2313" max="2313" width="12.7109375" style="99" bestFit="1" customWidth="1"/>
    <col min="2314" max="2560" width="9.140625" style="99"/>
    <col min="2561" max="2561" width="10.140625" style="99" customWidth="1"/>
    <col min="2562" max="2562" width="66.5703125" style="99" customWidth="1"/>
    <col min="2563" max="2564" width="15.140625" style="99" customWidth="1"/>
    <col min="2565" max="2566" width="9.140625" style="99"/>
    <col min="2567" max="2567" width="12.7109375" style="99" bestFit="1" customWidth="1"/>
    <col min="2568" max="2568" width="9.140625" style="99"/>
    <col min="2569" max="2569" width="12.7109375" style="99" bestFit="1" customWidth="1"/>
    <col min="2570" max="2816" width="9.140625" style="99"/>
    <col min="2817" max="2817" width="10.140625" style="99" customWidth="1"/>
    <col min="2818" max="2818" width="66.5703125" style="99" customWidth="1"/>
    <col min="2819" max="2820" width="15.140625" style="99" customWidth="1"/>
    <col min="2821" max="2822" width="9.140625" style="99"/>
    <col min="2823" max="2823" width="12.7109375" style="99" bestFit="1" customWidth="1"/>
    <col min="2824" max="2824" width="9.140625" style="99"/>
    <col min="2825" max="2825" width="12.7109375" style="99" bestFit="1" customWidth="1"/>
    <col min="2826" max="3072" width="9.140625" style="99"/>
    <col min="3073" max="3073" width="10.140625" style="99" customWidth="1"/>
    <col min="3074" max="3074" width="66.5703125" style="99" customWidth="1"/>
    <col min="3075" max="3076" width="15.140625" style="99" customWidth="1"/>
    <col min="3077" max="3078" width="9.140625" style="99"/>
    <col min="3079" max="3079" width="12.7109375" style="99" bestFit="1" customWidth="1"/>
    <col min="3080" max="3080" width="9.140625" style="99"/>
    <col min="3081" max="3081" width="12.7109375" style="99" bestFit="1" customWidth="1"/>
    <col min="3082" max="3328" width="9.140625" style="99"/>
    <col min="3329" max="3329" width="10.140625" style="99" customWidth="1"/>
    <col min="3330" max="3330" width="66.5703125" style="99" customWidth="1"/>
    <col min="3331" max="3332" width="15.140625" style="99" customWidth="1"/>
    <col min="3333" max="3334" width="9.140625" style="99"/>
    <col min="3335" max="3335" width="12.7109375" style="99" bestFit="1" customWidth="1"/>
    <col min="3336" max="3336" width="9.140625" style="99"/>
    <col min="3337" max="3337" width="12.7109375" style="99" bestFit="1" customWidth="1"/>
    <col min="3338" max="3584" width="9.140625" style="99"/>
    <col min="3585" max="3585" width="10.140625" style="99" customWidth="1"/>
    <col min="3586" max="3586" width="66.5703125" style="99" customWidth="1"/>
    <col min="3587" max="3588" width="15.140625" style="99" customWidth="1"/>
    <col min="3589" max="3590" width="9.140625" style="99"/>
    <col min="3591" max="3591" width="12.7109375" style="99" bestFit="1" customWidth="1"/>
    <col min="3592" max="3592" width="9.140625" style="99"/>
    <col min="3593" max="3593" width="12.7109375" style="99" bestFit="1" customWidth="1"/>
    <col min="3594" max="3840" width="9.140625" style="99"/>
    <col min="3841" max="3841" width="10.140625" style="99" customWidth="1"/>
    <col min="3842" max="3842" width="66.5703125" style="99" customWidth="1"/>
    <col min="3843" max="3844" width="15.140625" style="99" customWidth="1"/>
    <col min="3845" max="3846" width="9.140625" style="99"/>
    <col min="3847" max="3847" width="12.7109375" style="99" bestFit="1" customWidth="1"/>
    <col min="3848" max="3848" width="9.140625" style="99"/>
    <col min="3849" max="3849" width="12.7109375" style="99" bestFit="1" customWidth="1"/>
    <col min="3850" max="4096" width="9.140625" style="99"/>
    <col min="4097" max="4097" width="10.140625" style="99" customWidth="1"/>
    <col min="4098" max="4098" width="66.5703125" style="99" customWidth="1"/>
    <col min="4099" max="4100" width="15.140625" style="99" customWidth="1"/>
    <col min="4101" max="4102" width="9.140625" style="99"/>
    <col min="4103" max="4103" width="12.7109375" style="99" bestFit="1" customWidth="1"/>
    <col min="4104" max="4104" width="9.140625" style="99"/>
    <col min="4105" max="4105" width="12.7109375" style="99" bestFit="1" customWidth="1"/>
    <col min="4106" max="4352" width="9.140625" style="99"/>
    <col min="4353" max="4353" width="10.140625" style="99" customWidth="1"/>
    <col min="4354" max="4354" width="66.5703125" style="99" customWidth="1"/>
    <col min="4355" max="4356" width="15.140625" style="99" customWidth="1"/>
    <col min="4357" max="4358" width="9.140625" style="99"/>
    <col min="4359" max="4359" width="12.7109375" style="99" bestFit="1" customWidth="1"/>
    <col min="4360" max="4360" width="9.140625" style="99"/>
    <col min="4361" max="4361" width="12.7109375" style="99" bestFit="1" customWidth="1"/>
    <col min="4362" max="4608" width="9.140625" style="99"/>
    <col min="4609" max="4609" width="10.140625" style="99" customWidth="1"/>
    <col min="4610" max="4610" width="66.5703125" style="99" customWidth="1"/>
    <col min="4611" max="4612" width="15.140625" style="99" customWidth="1"/>
    <col min="4613" max="4614" width="9.140625" style="99"/>
    <col min="4615" max="4615" width="12.7109375" style="99" bestFit="1" customWidth="1"/>
    <col min="4616" max="4616" width="9.140625" style="99"/>
    <col min="4617" max="4617" width="12.7109375" style="99" bestFit="1" customWidth="1"/>
    <col min="4618" max="4864" width="9.140625" style="99"/>
    <col min="4865" max="4865" width="10.140625" style="99" customWidth="1"/>
    <col min="4866" max="4866" width="66.5703125" style="99" customWidth="1"/>
    <col min="4867" max="4868" width="15.140625" style="99" customWidth="1"/>
    <col min="4869" max="4870" width="9.140625" style="99"/>
    <col min="4871" max="4871" width="12.7109375" style="99" bestFit="1" customWidth="1"/>
    <col min="4872" max="4872" width="9.140625" style="99"/>
    <col min="4873" max="4873" width="12.7109375" style="99" bestFit="1" customWidth="1"/>
    <col min="4874" max="5120" width="9.140625" style="99"/>
    <col min="5121" max="5121" width="10.140625" style="99" customWidth="1"/>
    <col min="5122" max="5122" width="66.5703125" style="99" customWidth="1"/>
    <col min="5123" max="5124" width="15.140625" style="99" customWidth="1"/>
    <col min="5125" max="5126" width="9.140625" style="99"/>
    <col min="5127" max="5127" width="12.7109375" style="99" bestFit="1" customWidth="1"/>
    <col min="5128" max="5128" width="9.140625" style="99"/>
    <col min="5129" max="5129" width="12.7109375" style="99" bestFit="1" customWidth="1"/>
    <col min="5130" max="5376" width="9.140625" style="99"/>
    <col min="5377" max="5377" width="10.140625" style="99" customWidth="1"/>
    <col min="5378" max="5378" width="66.5703125" style="99" customWidth="1"/>
    <col min="5379" max="5380" width="15.140625" style="99" customWidth="1"/>
    <col min="5381" max="5382" width="9.140625" style="99"/>
    <col min="5383" max="5383" width="12.7109375" style="99" bestFit="1" customWidth="1"/>
    <col min="5384" max="5384" width="9.140625" style="99"/>
    <col min="5385" max="5385" width="12.7109375" style="99" bestFit="1" customWidth="1"/>
    <col min="5386" max="5632" width="9.140625" style="99"/>
    <col min="5633" max="5633" width="10.140625" style="99" customWidth="1"/>
    <col min="5634" max="5634" width="66.5703125" style="99" customWidth="1"/>
    <col min="5635" max="5636" width="15.140625" style="99" customWidth="1"/>
    <col min="5637" max="5638" width="9.140625" style="99"/>
    <col min="5639" max="5639" width="12.7109375" style="99" bestFit="1" customWidth="1"/>
    <col min="5640" max="5640" width="9.140625" style="99"/>
    <col min="5641" max="5641" width="12.7109375" style="99" bestFit="1" customWidth="1"/>
    <col min="5642" max="5888" width="9.140625" style="99"/>
    <col min="5889" max="5889" width="10.140625" style="99" customWidth="1"/>
    <col min="5890" max="5890" width="66.5703125" style="99" customWidth="1"/>
    <col min="5891" max="5892" width="15.140625" style="99" customWidth="1"/>
    <col min="5893" max="5894" width="9.140625" style="99"/>
    <col min="5895" max="5895" width="12.7109375" style="99" bestFit="1" customWidth="1"/>
    <col min="5896" max="5896" width="9.140625" style="99"/>
    <col min="5897" max="5897" width="12.7109375" style="99" bestFit="1" customWidth="1"/>
    <col min="5898" max="6144" width="9.140625" style="99"/>
    <col min="6145" max="6145" width="10.140625" style="99" customWidth="1"/>
    <col min="6146" max="6146" width="66.5703125" style="99" customWidth="1"/>
    <col min="6147" max="6148" width="15.140625" style="99" customWidth="1"/>
    <col min="6149" max="6150" width="9.140625" style="99"/>
    <col min="6151" max="6151" width="12.7109375" style="99" bestFit="1" customWidth="1"/>
    <col min="6152" max="6152" width="9.140625" style="99"/>
    <col min="6153" max="6153" width="12.7109375" style="99" bestFit="1" customWidth="1"/>
    <col min="6154" max="6400" width="9.140625" style="99"/>
    <col min="6401" max="6401" width="10.140625" style="99" customWidth="1"/>
    <col min="6402" max="6402" width="66.5703125" style="99" customWidth="1"/>
    <col min="6403" max="6404" width="15.140625" style="99" customWidth="1"/>
    <col min="6405" max="6406" width="9.140625" style="99"/>
    <col min="6407" max="6407" width="12.7109375" style="99" bestFit="1" customWidth="1"/>
    <col min="6408" max="6408" width="9.140625" style="99"/>
    <col min="6409" max="6409" width="12.7109375" style="99" bestFit="1" customWidth="1"/>
    <col min="6410" max="6656" width="9.140625" style="99"/>
    <col min="6657" max="6657" width="10.140625" style="99" customWidth="1"/>
    <col min="6658" max="6658" width="66.5703125" style="99" customWidth="1"/>
    <col min="6659" max="6660" width="15.140625" style="99" customWidth="1"/>
    <col min="6661" max="6662" width="9.140625" style="99"/>
    <col min="6663" max="6663" width="12.7109375" style="99" bestFit="1" customWidth="1"/>
    <col min="6664" max="6664" width="9.140625" style="99"/>
    <col min="6665" max="6665" width="12.7109375" style="99" bestFit="1" customWidth="1"/>
    <col min="6666" max="6912" width="9.140625" style="99"/>
    <col min="6913" max="6913" width="10.140625" style="99" customWidth="1"/>
    <col min="6914" max="6914" width="66.5703125" style="99" customWidth="1"/>
    <col min="6915" max="6916" width="15.140625" style="99" customWidth="1"/>
    <col min="6917" max="6918" width="9.140625" style="99"/>
    <col min="6919" max="6919" width="12.7109375" style="99" bestFit="1" customWidth="1"/>
    <col min="6920" max="6920" width="9.140625" style="99"/>
    <col min="6921" max="6921" width="12.7109375" style="99" bestFit="1" customWidth="1"/>
    <col min="6922" max="7168" width="9.140625" style="99"/>
    <col min="7169" max="7169" width="10.140625" style="99" customWidth="1"/>
    <col min="7170" max="7170" width="66.5703125" style="99" customWidth="1"/>
    <col min="7171" max="7172" width="15.140625" style="99" customWidth="1"/>
    <col min="7173" max="7174" width="9.140625" style="99"/>
    <col min="7175" max="7175" width="12.7109375" style="99" bestFit="1" customWidth="1"/>
    <col min="7176" max="7176" width="9.140625" style="99"/>
    <col min="7177" max="7177" width="12.7109375" style="99" bestFit="1" customWidth="1"/>
    <col min="7178" max="7424" width="9.140625" style="99"/>
    <col min="7425" max="7425" width="10.140625" style="99" customWidth="1"/>
    <col min="7426" max="7426" width="66.5703125" style="99" customWidth="1"/>
    <col min="7427" max="7428" width="15.140625" style="99" customWidth="1"/>
    <col min="7429" max="7430" width="9.140625" style="99"/>
    <col min="7431" max="7431" width="12.7109375" style="99" bestFit="1" customWidth="1"/>
    <col min="7432" max="7432" width="9.140625" style="99"/>
    <col min="7433" max="7433" width="12.7109375" style="99" bestFit="1" customWidth="1"/>
    <col min="7434" max="7680" width="9.140625" style="99"/>
    <col min="7681" max="7681" width="10.140625" style="99" customWidth="1"/>
    <col min="7682" max="7682" width="66.5703125" style="99" customWidth="1"/>
    <col min="7683" max="7684" width="15.140625" style="99" customWidth="1"/>
    <col min="7685" max="7686" width="9.140625" style="99"/>
    <col min="7687" max="7687" width="12.7109375" style="99" bestFit="1" customWidth="1"/>
    <col min="7688" max="7688" width="9.140625" style="99"/>
    <col min="7689" max="7689" width="12.7109375" style="99" bestFit="1" customWidth="1"/>
    <col min="7690" max="7936" width="9.140625" style="99"/>
    <col min="7937" max="7937" width="10.140625" style="99" customWidth="1"/>
    <col min="7938" max="7938" width="66.5703125" style="99" customWidth="1"/>
    <col min="7939" max="7940" width="15.140625" style="99" customWidth="1"/>
    <col min="7941" max="7942" width="9.140625" style="99"/>
    <col min="7943" max="7943" width="12.7109375" style="99" bestFit="1" customWidth="1"/>
    <col min="7944" max="7944" width="9.140625" style="99"/>
    <col min="7945" max="7945" width="12.7109375" style="99" bestFit="1" customWidth="1"/>
    <col min="7946" max="8192" width="9.140625" style="99"/>
    <col min="8193" max="8193" width="10.140625" style="99" customWidth="1"/>
    <col min="8194" max="8194" width="66.5703125" style="99" customWidth="1"/>
    <col min="8195" max="8196" width="15.140625" style="99" customWidth="1"/>
    <col min="8197" max="8198" width="9.140625" style="99"/>
    <col min="8199" max="8199" width="12.7109375" style="99" bestFit="1" customWidth="1"/>
    <col min="8200" max="8200" width="9.140625" style="99"/>
    <col min="8201" max="8201" width="12.7109375" style="99" bestFit="1" customWidth="1"/>
    <col min="8202" max="8448" width="9.140625" style="99"/>
    <col min="8449" max="8449" width="10.140625" style="99" customWidth="1"/>
    <col min="8450" max="8450" width="66.5703125" style="99" customWidth="1"/>
    <col min="8451" max="8452" width="15.140625" style="99" customWidth="1"/>
    <col min="8453" max="8454" width="9.140625" style="99"/>
    <col min="8455" max="8455" width="12.7109375" style="99" bestFit="1" customWidth="1"/>
    <col min="8456" max="8456" width="9.140625" style="99"/>
    <col min="8457" max="8457" width="12.7109375" style="99" bestFit="1" customWidth="1"/>
    <col min="8458" max="8704" width="9.140625" style="99"/>
    <col min="8705" max="8705" width="10.140625" style="99" customWidth="1"/>
    <col min="8706" max="8706" width="66.5703125" style="99" customWidth="1"/>
    <col min="8707" max="8708" width="15.140625" style="99" customWidth="1"/>
    <col min="8709" max="8710" width="9.140625" style="99"/>
    <col min="8711" max="8711" width="12.7109375" style="99" bestFit="1" customWidth="1"/>
    <col min="8712" max="8712" width="9.140625" style="99"/>
    <col min="8713" max="8713" width="12.7109375" style="99" bestFit="1" customWidth="1"/>
    <col min="8714" max="8960" width="9.140625" style="99"/>
    <col min="8961" max="8961" width="10.140625" style="99" customWidth="1"/>
    <col min="8962" max="8962" width="66.5703125" style="99" customWidth="1"/>
    <col min="8963" max="8964" width="15.140625" style="99" customWidth="1"/>
    <col min="8965" max="8966" width="9.140625" style="99"/>
    <col min="8967" max="8967" width="12.7109375" style="99" bestFit="1" customWidth="1"/>
    <col min="8968" max="8968" width="9.140625" style="99"/>
    <col min="8969" max="8969" width="12.7109375" style="99" bestFit="1" customWidth="1"/>
    <col min="8970" max="9216" width="9.140625" style="99"/>
    <col min="9217" max="9217" width="10.140625" style="99" customWidth="1"/>
    <col min="9218" max="9218" width="66.5703125" style="99" customWidth="1"/>
    <col min="9219" max="9220" width="15.140625" style="99" customWidth="1"/>
    <col min="9221" max="9222" width="9.140625" style="99"/>
    <col min="9223" max="9223" width="12.7109375" style="99" bestFit="1" customWidth="1"/>
    <col min="9224" max="9224" width="9.140625" style="99"/>
    <col min="9225" max="9225" width="12.7109375" style="99" bestFit="1" customWidth="1"/>
    <col min="9226" max="9472" width="9.140625" style="99"/>
    <col min="9473" max="9473" width="10.140625" style="99" customWidth="1"/>
    <col min="9474" max="9474" width="66.5703125" style="99" customWidth="1"/>
    <col min="9475" max="9476" width="15.140625" style="99" customWidth="1"/>
    <col min="9477" max="9478" width="9.140625" style="99"/>
    <col min="9479" max="9479" width="12.7109375" style="99" bestFit="1" customWidth="1"/>
    <col min="9480" max="9480" width="9.140625" style="99"/>
    <col min="9481" max="9481" width="12.7109375" style="99" bestFit="1" customWidth="1"/>
    <col min="9482" max="9728" width="9.140625" style="99"/>
    <col min="9729" max="9729" width="10.140625" style="99" customWidth="1"/>
    <col min="9730" max="9730" width="66.5703125" style="99" customWidth="1"/>
    <col min="9731" max="9732" width="15.140625" style="99" customWidth="1"/>
    <col min="9733" max="9734" width="9.140625" style="99"/>
    <col min="9735" max="9735" width="12.7109375" style="99" bestFit="1" customWidth="1"/>
    <col min="9736" max="9736" width="9.140625" style="99"/>
    <col min="9737" max="9737" width="12.7109375" style="99" bestFit="1" customWidth="1"/>
    <col min="9738" max="9984" width="9.140625" style="99"/>
    <col min="9985" max="9985" width="10.140625" style="99" customWidth="1"/>
    <col min="9986" max="9986" width="66.5703125" style="99" customWidth="1"/>
    <col min="9987" max="9988" width="15.140625" style="99" customWidth="1"/>
    <col min="9989" max="9990" width="9.140625" style="99"/>
    <col min="9991" max="9991" width="12.7109375" style="99" bestFit="1" customWidth="1"/>
    <col min="9992" max="9992" width="9.140625" style="99"/>
    <col min="9993" max="9993" width="12.7109375" style="99" bestFit="1" customWidth="1"/>
    <col min="9994" max="10240" width="9.140625" style="99"/>
    <col min="10241" max="10241" width="10.140625" style="99" customWidth="1"/>
    <col min="10242" max="10242" width="66.5703125" style="99" customWidth="1"/>
    <col min="10243" max="10244" width="15.140625" style="99" customWidth="1"/>
    <col min="10245" max="10246" width="9.140625" style="99"/>
    <col min="10247" max="10247" width="12.7109375" style="99" bestFit="1" customWidth="1"/>
    <col min="10248" max="10248" width="9.140625" style="99"/>
    <col min="10249" max="10249" width="12.7109375" style="99" bestFit="1" customWidth="1"/>
    <col min="10250" max="10496" width="9.140625" style="99"/>
    <col min="10497" max="10497" width="10.140625" style="99" customWidth="1"/>
    <col min="10498" max="10498" width="66.5703125" style="99" customWidth="1"/>
    <col min="10499" max="10500" width="15.140625" style="99" customWidth="1"/>
    <col min="10501" max="10502" width="9.140625" style="99"/>
    <col min="10503" max="10503" width="12.7109375" style="99" bestFit="1" customWidth="1"/>
    <col min="10504" max="10504" width="9.140625" style="99"/>
    <col min="10505" max="10505" width="12.7109375" style="99" bestFit="1" customWidth="1"/>
    <col min="10506" max="10752" width="9.140625" style="99"/>
    <col min="10753" max="10753" width="10.140625" style="99" customWidth="1"/>
    <col min="10754" max="10754" width="66.5703125" style="99" customWidth="1"/>
    <col min="10755" max="10756" width="15.140625" style="99" customWidth="1"/>
    <col min="10757" max="10758" width="9.140625" style="99"/>
    <col min="10759" max="10759" width="12.7109375" style="99" bestFit="1" customWidth="1"/>
    <col min="10760" max="10760" width="9.140625" style="99"/>
    <col min="10761" max="10761" width="12.7109375" style="99" bestFit="1" customWidth="1"/>
    <col min="10762" max="11008" width="9.140625" style="99"/>
    <col min="11009" max="11009" width="10.140625" style="99" customWidth="1"/>
    <col min="11010" max="11010" width="66.5703125" style="99" customWidth="1"/>
    <col min="11011" max="11012" width="15.140625" style="99" customWidth="1"/>
    <col min="11013" max="11014" width="9.140625" style="99"/>
    <col min="11015" max="11015" width="12.7109375" style="99" bestFit="1" customWidth="1"/>
    <col min="11016" max="11016" width="9.140625" style="99"/>
    <col min="11017" max="11017" width="12.7109375" style="99" bestFit="1" customWidth="1"/>
    <col min="11018" max="11264" width="9.140625" style="99"/>
    <col min="11265" max="11265" width="10.140625" style="99" customWidth="1"/>
    <col min="11266" max="11266" width="66.5703125" style="99" customWidth="1"/>
    <col min="11267" max="11268" width="15.140625" style="99" customWidth="1"/>
    <col min="11269" max="11270" width="9.140625" style="99"/>
    <col min="11271" max="11271" width="12.7109375" style="99" bestFit="1" customWidth="1"/>
    <col min="11272" max="11272" width="9.140625" style="99"/>
    <col min="11273" max="11273" width="12.7109375" style="99" bestFit="1" customWidth="1"/>
    <col min="11274" max="11520" width="9.140625" style="99"/>
    <col min="11521" max="11521" width="10.140625" style="99" customWidth="1"/>
    <col min="11522" max="11522" width="66.5703125" style="99" customWidth="1"/>
    <col min="11523" max="11524" width="15.140625" style="99" customWidth="1"/>
    <col min="11525" max="11526" width="9.140625" style="99"/>
    <col min="11527" max="11527" width="12.7109375" style="99" bestFit="1" customWidth="1"/>
    <col min="11528" max="11528" width="9.140625" style="99"/>
    <col min="11529" max="11529" width="12.7109375" style="99" bestFit="1" customWidth="1"/>
    <col min="11530" max="11776" width="9.140625" style="99"/>
    <col min="11777" max="11777" width="10.140625" style="99" customWidth="1"/>
    <col min="11778" max="11778" width="66.5703125" style="99" customWidth="1"/>
    <col min="11779" max="11780" width="15.140625" style="99" customWidth="1"/>
    <col min="11781" max="11782" width="9.140625" style="99"/>
    <col min="11783" max="11783" width="12.7109375" style="99" bestFit="1" customWidth="1"/>
    <col min="11784" max="11784" width="9.140625" style="99"/>
    <col min="11785" max="11785" width="12.7109375" style="99" bestFit="1" customWidth="1"/>
    <col min="11786" max="12032" width="9.140625" style="99"/>
    <col min="12033" max="12033" width="10.140625" style="99" customWidth="1"/>
    <col min="12034" max="12034" width="66.5703125" style="99" customWidth="1"/>
    <col min="12035" max="12036" width="15.140625" style="99" customWidth="1"/>
    <col min="12037" max="12038" width="9.140625" style="99"/>
    <col min="12039" max="12039" width="12.7109375" style="99" bestFit="1" customWidth="1"/>
    <col min="12040" max="12040" width="9.140625" style="99"/>
    <col min="12041" max="12041" width="12.7109375" style="99" bestFit="1" customWidth="1"/>
    <col min="12042" max="12288" width="9.140625" style="99"/>
    <col min="12289" max="12289" width="10.140625" style="99" customWidth="1"/>
    <col min="12290" max="12290" width="66.5703125" style="99" customWidth="1"/>
    <col min="12291" max="12292" width="15.140625" style="99" customWidth="1"/>
    <col min="12293" max="12294" width="9.140625" style="99"/>
    <col min="12295" max="12295" width="12.7109375" style="99" bestFit="1" customWidth="1"/>
    <col min="12296" max="12296" width="9.140625" style="99"/>
    <col min="12297" max="12297" width="12.7109375" style="99" bestFit="1" customWidth="1"/>
    <col min="12298" max="12544" width="9.140625" style="99"/>
    <col min="12545" max="12545" width="10.140625" style="99" customWidth="1"/>
    <col min="12546" max="12546" width="66.5703125" style="99" customWidth="1"/>
    <col min="12547" max="12548" width="15.140625" style="99" customWidth="1"/>
    <col min="12549" max="12550" width="9.140625" style="99"/>
    <col min="12551" max="12551" width="12.7109375" style="99" bestFit="1" customWidth="1"/>
    <col min="12552" max="12552" width="9.140625" style="99"/>
    <col min="12553" max="12553" width="12.7109375" style="99" bestFit="1" customWidth="1"/>
    <col min="12554" max="12800" width="9.140625" style="99"/>
    <col min="12801" max="12801" width="10.140625" style="99" customWidth="1"/>
    <col min="12802" max="12802" width="66.5703125" style="99" customWidth="1"/>
    <col min="12803" max="12804" width="15.140625" style="99" customWidth="1"/>
    <col min="12805" max="12806" width="9.140625" style="99"/>
    <col min="12807" max="12807" width="12.7109375" style="99" bestFit="1" customWidth="1"/>
    <col min="12808" max="12808" width="9.140625" style="99"/>
    <col min="12809" max="12809" width="12.7109375" style="99" bestFit="1" customWidth="1"/>
    <col min="12810" max="13056" width="9.140625" style="99"/>
    <col min="13057" max="13057" width="10.140625" style="99" customWidth="1"/>
    <col min="13058" max="13058" width="66.5703125" style="99" customWidth="1"/>
    <col min="13059" max="13060" width="15.140625" style="99" customWidth="1"/>
    <col min="13061" max="13062" width="9.140625" style="99"/>
    <col min="13063" max="13063" width="12.7109375" style="99" bestFit="1" customWidth="1"/>
    <col min="13064" max="13064" width="9.140625" style="99"/>
    <col min="13065" max="13065" width="12.7109375" style="99" bestFit="1" customWidth="1"/>
    <col min="13066" max="13312" width="9.140625" style="99"/>
    <col min="13313" max="13313" width="10.140625" style="99" customWidth="1"/>
    <col min="13314" max="13314" width="66.5703125" style="99" customWidth="1"/>
    <col min="13315" max="13316" width="15.140625" style="99" customWidth="1"/>
    <col min="13317" max="13318" width="9.140625" style="99"/>
    <col min="13319" max="13319" width="12.7109375" style="99" bestFit="1" customWidth="1"/>
    <col min="13320" max="13320" width="9.140625" style="99"/>
    <col min="13321" max="13321" width="12.7109375" style="99" bestFit="1" customWidth="1"/>
    <col min="13322" max="13568" width="9.140625" style="99"/>
    <col min="13569" max="13569" width="10.140625" style="99" customWidth="1"/>
    <col min="13570" max="13570" width="66.5703125" style="99" customWidth="1"/>
    <col min="13571" max="13572" width="15.140625" style="99" customWidth="1"/>
    <col min="13573" max="13574" width="9.140625" style="99"/>
    <col min="13575" max="13575" width="12.7109375" style="99" bestFit="1" customWidth="1"/>
    <col min="13576" max="13576" width="9.140625" style="99"/>
    <col min="13577" max="13577" width="12.7109375" style="99" bestFit="1" customWidth="1"/>
    <col min="13578" max="13824" width="9.140625" style="99"/>
    <col min="13825" max="13825" width="10.140625" style="99" customWidth="1"/>
    <col min="13826" max="13826" width="66.5703125" style="99" customWidth="1"/>
    <col min="13827" max="13828" width="15.140625" style="99" customWidth="1"/>
    <col min="13829" max="13830" width="9.140625" style="99"/>
    <col min="13831" max="13831" width="12.7109375" style="99" bestFit="1" customWidth="1"/>
    <col min="13832" max="13832" width="9.140625" style="99"/>
    <col min="13833" max="13833" width="12.7109375" style="99" bestFit="1" customWidth="1"/>
    <col min="13834" max="14080" width="9.140625" style="99"/>
    <col min="14081" max="14081" width="10.140625" style="99" customWidth="1"/>
    <col min="14082" max="14082" width="66.5703125" style="99" customWidth="1"/>
    <col min="14083" max="14084" width="15.140625" style="99" customWidth="1"/>
    <col min="14085" max="14086" width="9.140625" style="99"/>
    <col min="14087" max="14087" width="12.7109375" style="99" bestFit="1" customWidth="1"/>
    <col min="14088" max="14088" width="9.140625" style="99"/>
    <col min="14089" max="14089" width="12.7109375" style="99" bestFit="1" customWidth="1"/>
    <col min="14090" max="14336" width="9.140625" style="99"/>
    <col min="14337" max="14337" width="10.140625" style="99" customWidth="1"/>
    <col min="14338" max="14338" width="66.5703125" style="99" customWidth="1"/>
    <col min="14339" max="14340" width="15.140625" style="99" customWidth="1"/>
    <col min="14341" max="14342" width="9.140625" style="99"/>
    <col min="14343" max="14343" width="12.7109375" style="99" bestFit="1" customWidth="1"/>
    <col min="14344" max="14344" width="9.140625" style="99"/>
    <col min="14345" max="14345" width="12.7109375" style="99" bestFit="1" customWidth="1"/>
    <col min="14346" max="14592" width="9.140625" style="99"/>
    <col min="14593" max="14593" width="10.140625" style="99" customWidth="1"/>
    <col min="14594" max="14594" width="66.5703125" style="99" customWidth="1"/>
    <col min="14595" max="14596" width="15.140625" style="99" customWidth="1"/>
    <col min="14597" max="14598" width="9.140625" style="99"/>
    <col min="14599" max="14599" width="12.7109375" style="99" bestFit="1" customWidth="1"/>
    <col min="14600" max="14600" width="9.140625" style="99"/>
    <col min="14601" max="14601" width="12.7109375" style="99" bestFit="1" customWidth="1"/>
    <col min="14602" max="14848" width="9.140625" style="99"/>
    <col min="14849" max="14849" width="10.140625" style="99" customWidth="1"/>
    <col min="14850" max="14850" width="66.5703125" style="99" customWidth="1"/>
    <col min="14851" max="14852" width="15.140625" style="99" customWidth="1"/>
    <col min="14853" max="14854" width="9.140625" style="99"/>
    <col min="14855" max="14855" width="12.7109375" style="99" bestFit="1" customWidth="1"/>
    <col min="14856" max="14856" width="9.140625" style="99"/>
    <col min="14857" max="14857" width="12.7109375" style="99" bestFit="1" customWidth="1"/>
    <col min="14858" max="15104" width="9.140625" style="99"/>
    <col min="15105" max="15105" width="10.140625" style="99" customWidth="1"/>
    <col min="15106" max="15106" width="66.5703125" style="99" customWidth="1"/>
    <col min="15107" max="15108" width="15.140625" style="99" customWidth="1"/>
    <col min="15109" max="15110" width="9.140625" style="99"/>
    <col min="15111" max="15111" width="12.7109375" style="99" bestFit="1" customWidth="1"/>
    <col min="15112" max="15112" width="9.140625" style="99"/>
    <col min="15113" max="15113" width="12.7109375" style="99" bestFit="1" customWidth="1"/>
    <col min="15114" max="15360" width="9.140625" style="99"/>
    <col min="15361" max="15361" width="10.140625" style="99" customWidth="1"/>
    <col min="15362" max="15362" width="66.5703125" style="99" customWidth="1"/>
    <col min="15363" max="15364" width="15.140625" style="99" customWidth="1"/>
    <col min="15365" max="15366" width="9.140625" style="99"/>
    <col min="15367" max="15367" width="12.7109375" style="99" bestFit="1" customWidth="1"/>
    <col min="15368" max="15368" width="9.140625" style="99"/>
    <col min="15369" max="15369" width="12.7109375" style="99" bestFit="1" customWidth="1"/>
    <col min="15370" max="15616" width="9.140625" style="99"/>
    <col min="15617" max="15617" width="10.140625" style="99" customWidth="1"/>
    <col min="15618" max="15618" width="66.5703125" style="99" customWidth="1"/>
    <col min="15619" max="15620" width="15.140625" style="99" customWidth="1"/>
    <col min="15621" max="15622" width="9.140625" style="99"/>
    <col min="15623" max="15623" width="12.7109375" style="99" bestFit="1" customWidth="1"/>
    <col min="15624" max="15624" width="9.140625" style="99"/>
    <col min="15625" max="15625" width="12.7109375" style="99" bestFit="1" customWidth="1"/>
    <col min="15626" max="15872" width="9.140625" style="99"/>
    <col min="15873" max="15873" width="10.140625" style="99" customWidth="1"/>
    <col min="15874" max="15874" width="66.5703125" style="99" customWidth="1"/>
    <col min="15875" max="15876" width="15.140625" style="99" customWidth="1"/>
    <col min="15877" max="15878" width="9.140625" style="99"/>
    <col min="15879" max="15879" width="12.7109375" style="99" bestFit="1" customWidth="1"/>
    <col min="15880" max="15880" width="9.140625" style="99"/>
    <col min="15881" max="15881" width="12.7109375" style="99" bestFit="1" customWidth="1"/>
    <col min="15882" max="16128" width="9.140625" style="99"/>
    <col min="16129" max="16129" width="10.140625" style="99" customWidth="1"/>
    <col min="16130" max="16130" width="66.5703125" style="99" customWidth="1"/>
    <col min="16131" max="16132" width="15.140625" style="99" customWidth="1"/>
    <col min="16133" max="16134" width="9.140625" style="99"/>
    <col min="16135" max="16135" width="12.7109375" style="99" bestFit="1" customWidth="1"/>
    <col min="16136" max="16136" width="9.140625" style="99"/>
    <col min="16137" max="16137" width="12.7109375" style="99" bestFit="1" customWidth="1"/>
    <col min="16138" max="16384" width="9.140625" style="99"/>
  </cols>
  <sheetData>
    <row r="1" spans="1:9" s="60" customFormat="1" ht="13.5" thickBot="1">
      <c r="A1" s="61"/>
      <c r="B1" s="62"/>
      <c r="C1" s="62"/>
      <c r="D1" s="63"/>
    </row>
    <row r="2" spans="1:9" s="66" customFormat="1" ht="14.25">
      <c r="A2" s="64"/>
      <c r="B2" s="64"/>
      <c r="C2" s="65"/>
      <c r="D2" s="65"/>
    </row>
    <row r="3" spans="1:9" s="66" customFormat="1" ht="15.75">
      <c r="A3" s="669" t="s">
        <v>257</v>
      </c>
      <c r="B3" s="669"/>
      <c r="C3" s="669"/>
      <c r="D3" s="669"/>
    </row>
    <row r="4" spans="1:9" s="66" customFormat="1" thickBot="1">
      <c r="A4" s="67"/>
      <c r="B4" s="67"/>
      <c r="C4" s="68"/>
      <c r="D4" s="69"/>
    </row>
    <row r="5" spans="1:9" s="70" customFormat="1">
      <c r="A5" s="670"/>
      <c r="B5" s="670"/>
      <c r="C5" s="670"/>
      <c r="D5" s="670"/>
    </row>
    <row r="6" spans="1:9" s="74" customFormat="1">
      <c r="A6" s="71"/>
      <c r="B6" s="286" t="s">
        <v>258</v>
      </c>
      <c r="C6" s="286" t="s">
        <v>259</v>
      </c>
      <c r="D6" s="287" t="s">
        <v>260</v>
      </c>
      <c r="E6" s="72"/>
      <c r="F6" s="73"/>
      <c r="G6" s="73"/>
      <c r="H6" s="73"/>
    </row>
    <row r="7" spans="1:9" s="80" customFormat="1" ht="12.75">
      <c r="A7" s="75" t="s">
        <v>261</v>
      </c>
      <c r="B7" s="76" t="s">
        <v>152</v>
      </c>
      <c r="C7" s="77"/>
      <c r="D7" s="78"/>
      <c r="E7" s="79"/>
      <c r="G7" s="81"/>
    </row>
    <row r="8" spans="1:9" s="80" customFormat="1" ht="12.75">
      <c r="A8" s="75" t="s">
        <v>262</v>
      </c>
      <c r="B8" s="76" t="s">
        <v>263</v>
      </c>
      <c r="C8" s="281">
        <v>1.4999999999999999E-2</v>
      </c>
      <c r="D8" s="282">
        <v>1.4999999999999999E-2</v>
      </c>
      <c r="E8" s="79"/>
      <c r="G8" s="81"/>
    </row>
    <row r="9" spans="1:9" s="80" customFormat="1" ht="12.75">
      <c r="A9" s="75" t="s">
        <v>264</v>
      </c>
      <c r="B9" s="76" t="s">
        <v>265</v>
      </c>
      <c r="C9" s="281">
        <v>0.01</v>
      </c>
      <c r="D9" s="282">
        <v>0.01</v>
      </c>
      <c r="E9" s="82"/>
      <c r="G9" s="81"/>
    </row>
    <row r="10" spans="1:9" s="80" customFormat="1" ht="12.75">
      <c r="A10" s="75" t="s">
        <v>266</v>
      </c>
      <c r="B10" s="76" t="s">
        <v>155</v>
      </c>
      <c r="C10" s="281">
        <v>2E-3</v>
      </c>
      <c r="D10" s="282">
        <v>2E-3</v>
      </c>
      <c r="E10" s="82"/>
      <c r="G10" s="81"/>
    </row>
    <row r="11" spans="1:9" s="80" customFormat="1" ht="12.75">
      <c r="A11" s="75" t="s">
        <v>267</v>
      </c>
      <c r="B11" s="76" t="s">
        <v>161</v>
      </c>
      <c r="C11" s="281">
        <v>6.0000000000000001E-3</v>
      </c>
      <c r="D11" s="282">
        <v>6.0000000000000001E-3</v>
      </c>
      <c r="E11" s="82"/>
      <c r="G11" s="81"/>
      <c r="I11" s="83"/>
    </row>
    <row r="12" spans="1:9" s="80" customFormat="1" ht="12.75">
      <c r="A12" s="75" t="s">
        <v>268</v>
      </c>
      <c r="B12" s="76" t="s">
        <v>269</v>
      </c>
      <c r="C12" s="281">
        <v>2.5000000000000001E-2</v>
      </c>
      <c r="D12" s="282">
        <v>2.5000000000000001E-2</v>
      </c>
      <c r="E12" s="84"/>
      <c r="G12" s="81"/>
    </row>
    <row r="13" spans="1:9" s="80" customFormat="1" ht="12.75">
      <c r="A13" s="75" t="s">
        <v>270</v>
      </c>
      <c r="B13" s="76" t="s">
        <v>271</v>
      </c>
      <c r="C13" s="281">
        <v>0.03</v>
      </c>
      <c r="D13" s="282">
        <v>0.03</v>
      </c>
      <c r="G13" s="81"/>
    </row>
    <row r="14" spans="1:9" s="80" customFormat="1" ht="12.75">
      <c r="A14" s="75" t="s">
        <v>272</v>
      </c>
      <c r="B14" s="76" t="s">
        <v>157</v>
      </c>
      <c r="C14" s="281">
        <v>0.08</v>
      </c>
      <c r="D14" s="282">
        <v>0.08</v>
      </c>
      <c r="E14" s="85"/>
      <c r="G14" s="81"/>
    </row>
    <row r="15" spans="1:9" s="80" customFormat="1" ht="12.75">
      <c r="A15" s="75" t="s">
        <v>273</v>
      </c>
      <c r="B15" s="76" t="s">
        <v>274</v>
      </c>
      <c r="C15" s="281">
        <v>0</v>
      </c>
      <c r="D15" s="282">
        <v>0</v>
      </c>
      <c r="E15" s="85"/>
      <c r="G15" s="81"/>
    </row>
    <row r="16" spans="1:9" s="90" customFormat="1" ht="12.75">
      <c r="A16" s="86" t="s">
        <v>123</v>
      </c>
      <c r="B16" s="283" t="s">
        <v>275</v>
      </c>
      <c r="C16" s="284">
        <f>SUM(C7:C15)</f>
        <v>0.16799999999999998</v>
      </c>
      <c r="D16" s="285">
        <f>SUM(D7:D15)</f>
        <v>0.16799999999999998</v>
      </c>
      <c r="E16" s="89"/>
      <c r="G16" s="91"/>
    </row>
    <row r="17" spans="1:7" s="80" customFormat="1" ht="12.75">
      <c r="A17" s="75" t="s">
        <v>276</v>
      </c>
      <c r="B17" s="76" t="s">
        <v>277</v>
      </c>
      <c r="C17" s="281">
        <v>0.18079999999999999</v>
      </c>
      <c r="D17" s="282">
        <v>0</v>
      </c>
      <c r="G17" s="81"/>
    </row>
    <row r="18" spans="1:7" s="80" customFormat="1" ht="12.75">
      <c r="A18" s="75" t="s">
        <v>278</v>
      </c>
      <c r="B18" s="76" t="s">
        <v>279</v>
      </c>
      <c r="C18" s="281">
        <v>4.3400000000000001E-2</v>
      </c>
      <c r="D18" s="282">
        <v>0</v>
      </c>
      <c r="G18" s="81"/>
    </row>
    <row r="19" spans="1:7" s="80" customFormat="1" ht="12.75">
      <c r="A19" s="75" t="s">
        <v>280</v>
      </c>
      <c r="B19" s="76" t="s">
        <v>281</v>
      </c>
      <c r="C19" s="281">
        <v>9.1999999999999998E-3</v>
      </c>
      <c r="D19" s="282">
        <v>7.0000000000000001E-3</v>
      </c>
      <c r="G19" s="81"/>
    </row>
    <row r="20" spans="1:7" s="80" customFormat="1" ht="12.75">
      <c r="A20" s="75" t="s">
        <v>282</v>
      </c>
      <c r="B20" s="76" t="s">
        <v>283</v>
      </c>
      <c r="C20" s="281">
        <v>0.1094</v>
      </c>
      <c r="D20" s="282">
        <v>8.3299999999999999E-2</v>
      </c>
      <c r="G20" s="81"/>
    </row>
    <row r="21" spans="1:7" s="80" customFormat="1" ht="12.75">
      <c r="A21" s="75" t="s">
        <v>284</v>
      </c>
      <c r="B21" s="76" t="s">
        <v>285</v>
      </c>
      <c r="C21" s="281">
        <v>6.9999999999999999E-4</v>
      </c>
      <c r="D21" s="282">
        <v>5.0000000000000001E-4</v>
      </c>
      <c r="G21" s="81"/>
    </row>
    <row r="22" spans="1:7" s="80" customFormat="1" ht="12.75">
      <c r="A22" s="75" t="s">
        <v>286</v>
      </c>
      <c r="B22" s="76" t="s">
        <v>287</v>
      </c>
      <c r="C22" s="281">
        <v>7.3000000000000001E-3</v>
      </c>
      <c r="D22" s="282">
        <v>5.5999999999999999E-3</v>
      </c>
      <c r="G22" s="81"/>
    </row>
    <row r="23" spans="1:7" s="80" customFormat="1" ht="12.75">
      <c r="A23" s="75" t="s">
        <v>288</v>
      </c>
      <c r="B23" s="76" t="s">
        <v>289</v>
      </c>
      <c r="C23" s="281">
        <v>2.2800000000000001E-2</v>
      </c>
      <c r="D23" s="282">
        <v>0</v>
      </c>
      <c r="G23" s="81"/>
    </row>
    <row r="24" spans="1:7" s="80" customFormat="1" ht="12.75">
      <c r="A24" s="75" t="s">
        <v>290</v>
      </c>
      <c r="B24" s="76" t="s">
        <v>291</v>
      </c>
      <c r="C24" s="281">
        <v>1.1000000000000001E-3</v>
      </c>
      <c r="D24" s="282">
        <v>8.0000000000000004E-4</v>
      </c>
      <c r="G24" s="81"/>
    </row>
    <row r="25" spans="1:7" s="80" customFormat="1" ht="12.75">
      <c r="A25" s="75" t="s">
        <v>292</v>
      </c>
      <c r="B25" s="92" t="s">
        <v>293</v>
      </c>
      <c r="C25" s="281">
        <v>8.8999999999999996E-2</v>
      </c>
      <c r="D25" s="282">
        <v>6.7799999999999999E-2</v>
      </c>
      <c r="G25" s="81"/>
    </row>
    <row r="26" spans="1:7" s="80" customFormat="1" ht="12.75">
      <c r="A26" s="75" t="s">
        <v>294</v>
      </c>
      <c r="B26" s="92" t="s">
        <v>295</v>
      </c>
      <c r="C26" s="281">
        <v>2.9999999999999997E-4</v>
      </c>
      <c r="D26" s="282">
        <v>2.0000000000000001E-4</v>
      </c>
      <c r="G26" s="81"/>
    </row>
    <row r="27" spans="1:7" s="90" customFormat="1" ht="12.75">
      <c r="A27" s="86" t="s">
        <v>11</v>
      </c>
      <c r="B27" s="288" t="s">
        <v>296</v>
      </c>
      <c r="C27" s="284">
        <f>SUM(C17:C26)</f>
        <v>0.46399999999999991</v>
      </c>
      <c r="D27" s="285">
        <f>SUM(D17:D26)</f>
        <v>0.16519999999999999</v>
      </c>
      <c r="G27" s="91"/>
    </row>
    <row r="28" spans="1:7" s="80" customFormat="1" ht="12.75">
      <c r="A28" s="75" t="s">
        <v>297</v>
      </c>
      <c r="B28" s="76" t="s">
        <v>298</v>
      </c>
      <c r="C28" s="281">
        <v>5.6500000000000002E-2</v>
      </c>
      <c r="D28" s="282">
        <v>4.3099999999999999E-2</v>
      </c>
      <c r="G28" s="81"/>
    </row>
    <row r="29" spans="1:7" s="80" customFormat="1" ht="12.75">
      <c r="A29" s="75" t="s">
        <v>299</v>
      </c>
      <c r="B29" s="76" t="s">
        <v>300</v>
      </c>
      <c r="C29" s="281">
        <v>1.2999999999999999E-3</v>
      </c>
      <c r="D29" s="282">
        <v>1E-3</v>
      </c>
      <c r="G29" s="81"/>
    </row>
    <row r="30" spans="1:7" s="80" customFormat="1" ht="12.75">
      <c r="A30" s="75" t="s">
        <v>301</v>
      </c>
      <c r="B30" s="76" t="s">
        <v>302</v>
      </c>
      <c r="C30" s="281">
        <v>5.0799999999999998E-2</v>
      </c>
      <c r="D30" s="282">
        <v>3.8699999999999998E-2</v>
      </c>
      <c r="G30" s="81"/>
    </row>
    <row r="31" spans="1:7" s="80" customFormat="1" ht="12.75">
      <c r="A31" s="75" t="s">
        <v>303</v>
      </c>
      <c r="B31" s="76" t="s">
        <v>304</v>
      </c>
      <c r="C31" s="281">
        <v>5.0599999999999999E-2</v>
      </c>
      <c r="D31" s="282">
        <v>3.85E-2</v>
      </c>
      <c r="G31" s="81"/>
    </row>
    <row r="32" spans="1:7" s="80" customFormat="1" ht="12.75">
      <c r="A32" s="75" t="s">
        <v>305</v>
      </c>
      <c r="B32" s="289" t="s">
        <v>306</v>
      </c>
      <c r="C32" s="290">
        <v>4.7999999999999996E-3</v>
      </c>
      <c r="D32" s="291">
        <v>3.5999999999999999E-3</v>
      </c>
      <c r="G32" s="81"/>
    </row>
    <row r="33" spans="1:7" s="90" customFormat="1" ht="12.75">
      <c r="A33" s="86" t="s">
        <v>125</v>
      </c>
      <c r="B33" s="288" t="s">
        <v>307</v>
      </c>
      <c r="C33" s="284">
        <f>SUM(C28:C32)</f>
        <v>0.16400000000000001</v>
      </c>
      <c r="D33" s="285">
        <f>SUM(D28:D32)</f>
        <v>0.1249</v>
      </c>
      <c r="G33" s="91"/>
    </row>
    <row r="34" spans="1:7" s="80" customFormat="1" ht="12.75">
      <c r="A34" s="75" t="s">
        <v>308</v>
      </c>
      <c r="B34" s="76" t="s">
        <v>309</v>
      </c>
      <c r="C34" s="281">
        <v>7.8E-2</v>
      </c>
      <c r="D34" s="282">
        <v>2.7799999999999998E-2</v>
      </c>
      <c r="G34" s="81"/>
    </row>
    <row r="35" spans="1:7" s="80" customFormat="1" ht="25.5">
      <c r="A35" s="75" t="s">
        <v>310</v>
      </c>
      <c r="B35" s="76" t="s">
        <v>311</v>
      </c>
      <c r="C35" s="281">
        <v>4.7000000000000002E-3</v>
      </c>
      <c r="D35" s="282">
        <v>3.5999999999999999E-3</v>
      </c>
      <c r="G35" s="81"/>
    </row>
    <row r="36" spans="1:7" s="90" customFormat="1" ht="12.75">
      <c r="A36" s="86" t="s">
        <v>308</v>
      </c>
      <c r="B36" s="93" t="s">
        <v>312</v>
      </c>
      <c r="C36" s="87">
        <f>SUM(C34:C35)</f>
        <v>8.2699999999999996E-2</v>
      </c>
      <c r="D36" s="88">
        <f>SUM(D34:D35)</f>
        <v>3.1399999999999997E-2</v>
      </c>
      <c r="G36" s="91"/>
    </row>
    <row r="37" spans="1:7" s="95" customFormat="1" ht="15.75">
      <c r="A37" s="94" t="s">
        <v>313</v>
      </c>
      <c r="B37" s="292"/>
      <c r="C37" s="293">
        <f>C36+C33+C27+C16</f>
        <v>0.87869999999999981</v>
      </c>
      <c r="D37" s="294">
        <f>D36+D33+D27+D16</f>
        <v>0.48949999999999999</v>
      </c>
      <c r="G37" s="96"/>
    </row>
    <row r="38" spans="1:7">
      <c r="A38" s="97"/>
      <c r="B38" s="97"/>
      <c r="C38" s="98"/>
      <c r="D38" s="97"/>
      <c r="G38" s="100"/>
    </row>
    <row r="39" spans="1:7">
      <c r="A39" s="97"/>
      <c r="B39" s="97"/>
      <c r="C39" s="98"/>
      <c r="D39" s="97"/>
      <c r="G39" s="100"/>
    </row>
    <row r="40" spans="1:7">
      <c r="A40" s="97"/>
      <c r="B40" s="97"/>
      <c r="C40" s="98"/>
      <c r="D40" s="97"/>
      <c r="G40" s="100"/>
    </row>
    <row r="41" spans="1:7">
      <c r="A41" s="97"/>
      <c r="B41" s="97"/>
      <c r="C41" s="98"/>
      <c r="D41" s="97"/>
      <c r="G41" s="100"/>
    </row>
    <row r="42" spans="1:7">
      <c r="A42" s="97"/>
      <c r="B42" s="97"/>
      <c r="C42" s="98"/>
      <c r="D42" s="97"/>
      <c r="G42" s="100"/>
    </row>
    <row r="43" spans="1:7">
      <c r="A43" s="97"/>
      <c r="B43" s="97"/>
      <c r="C43" s="98"/>
      <c r="D43" s="97"/>
    </row>
    <row r="44" spans="1:7">
      <c r="A44" s="97"/>
      <c r="B44" s="97"/>
      <c r="C44" s="98"/>
      <c r="D44" s="97"/>
    </row>
    <row r="45" spans="1:7">
      <c r="A45" s="97"/>
      <c r="B45" s="97"/>
      <c r="C45" s="98"/>
      <c r="D45" s="97"/>
    </row>
    <row r="46" spans="1:7">
      <c r="A46" s="97"/>
      <c r="B46" s="97"/>
      <c r="C46" s="98"/>
      <c r="D46" s="97"/>
    </row>
    <row r="47" spans="1:7">
      <c r="A47" s="97"/>
      <c r="B47" s="101"/>
      <c r="C47" s="98"/>
      <c r="D47" s="97"/>
    </row>
    <row r="48" spans="1:7">
      <c r="A48" s="97"/>
      <c r="B48" s="101"/>
      <c r="C48" s="98"/>
      <c r="D48" s="97"/>
    </row>
    <row r="49" spans="1:4">
      <c r="A49" s="97"/>
      <c r="B49" s="101"/>
      <c r="C49" s="98"/>
      <c r="D49" s="97"/>
    </row>
    <row r="50" spans="1:4">
      <c r="A50" s="97"/>
      <c r="B50" s="101"/>
      <c r="C50" s="98"/>
      <c r="D50" s="97"/>
    </row>
    <row r="51" spans="1:4">
      <c r="A51" s="97"/>
      <c r="B51" s="101"/>
      <c r="C51" s="98"/>
      <c r="D51" s="97"/>
    </row>
  </sheetData>
  <mergeCells count="2">
    <mergeCell ref="A3:D3"/>
    <mergeCell ref="A5:D5"/>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dimension ref="A1:D30"/>
  <sheetViews>
    <sheetView workbookViewId="0">
      <selection activeCell="D8" sqref="D8"/>
    </sheetView>
  </sheetViews>
  <sheetFormatPr defaultRowHeight="11.25"/>
  <cols>
    <col min="1" max="1" width="41" style="48" customWidth="1"/>
    <col min="2" max="2" width="9.140625" style="48"/>
    <col min="3" max="3" width="4.85546875" style="48" bestFit="1" customWidth="1"/>
    <col min="4" max="4" width="6" style="48" bestFit="1" customWidth="1"/>
    <col min="5" max="255" width="9.140625" style="48"/>
    <col min="256" max="256" width="17.28515625" style="48" customWidth="1"/>
    <col min="257" max="257" width="9.140625" style="48"/>
    <col min="258" max="258" width="34.28515625" style="48" customWidth="1"/>
    <col min="259" max="259" width="11.7109375" style="48" customWidth="1"/>
    <col min="260" max="260" width="21" style="48" customWidth="1"/>
    <col min="261" max="511" width="9.140625" style="48"/>
    <col min="512" max="512" width="17.28515625" style="48" customWidth="1"/>
    <col min="513" max="513" width="9.140625" style="48"/>
    <col min="514" max="514" width="34.28515625" style="48" customWidth="1"/>
    <col min="515" max="515" width="11.7109375" style="48" customWidth="1"/>
    <col min="516" max="516" width="21" style="48" customWidth="1"/>
    <col min="517" max="767" width="9.140625" style="48"/>
    <col min="768" max="768" width="17.28515625" style="48" customWidth="1"/>
    <col min="769" max="769" width="9.140625" style="48"/>
    <col min="770" max="770" width="34.28515625" style="48" customWidth="1"/>
    <col min="771" max="771" width="11.7109375" style="48" customWidth="1"/>
    <col min="772" max="772" width="21" style="48" customWidth="1"/>
    <col min="773" max="1023" width="9.140625" style="48"/>
    <col min="1024" max="1024" width="17.28515625" style="48" customWidth="1"/>
    <col min="1025" max="1025" width="9.140625" style="48"/>
    <col min="1026" max="1026" width="34.28515625" style="48" customWidth="1"/>
    <col min="1027" max="1027" width="11.7109375" style="48" customWidth="1"/>
    <col min="1028" max="1028" width="21" style="48" customWidth="1"/>
    <col min="1029" max="1279" width="9.140625" style="48"/>
    <col min="1280" max="1280" width="17.28515625" style="48" customWidth="1"/>
    <col min="1281" max="1281" width="9.140625" style="48"/>
    <col min="1282" max="1282" width="34.28515625" style="48" customWidth="1"/>
    <col min="1283" max="1283" width="11.7109375" style="48" customWidth="1"/>
    <col min="1284" max="1284" width="21" style="48" customWidth="1"/>
    <col min="1285" max="1535" width="9.140625" style="48"/>
    <col min="1536" max="1536" width="17.28515625" style="48" customWidth="1"/>
    <col min="1537" max="1537" width="9.140625" style="48"/>
    <col min="1538" max="1538" width="34.28515625" style="48" customWidth="1"/>
    <col min="1539" max="1539" width="11.7109375" style="48" customWidth="1"/>
    <col min="1540" max="1540" width="21" style="48" customWidth="1"/>
    <col min="1541" max="1791" width="9.140625" style="48"/>
    <col min="1792" max="1792" width="17.28515625" style="48" customWidth="1"/>
    <col min="1793" max="1793" width="9.140625" style="48"/>
    <col min="1794" max="1794" width="34.28515625" style="48" customWidth="1"/>
    <col min="1795" max="1795" width="11.7109375" style="48" customWidth="1"/>
    <col min="1796" max="1796" width="21" style="48" customWidth="1"/>
    <col min="1797" max="2047" width="9.140625" style="48"/>
    <col min="2048" max="2048" width="17.28515625" style="48" customWidth="1"/>
    <col min="2049" max="2049" width="9.140625" style="48"/>
    <col min="2050" max="2050" width="34.28515625" style="48" customWidth="1"/>
    <col min="2051" max="2051" width="11.7109375" style="48" customWidth="1"/>
    <col min="2052" max="2052" width="21" style="48" customWidth="1"/>
    <col min="2053" max="2303" width="9.140625" style="48"/>
    <col min="2304" max="2304" width="17.28515625" style="48" customWidth="1"/>
    <col min="2305" max="2305" width="9.140625" style="48"/>
    <col min="2306" max="2306" width="34.28515625" style="48" customWidth="1"/>
    <col min="2307" max="2307" width="11.7109375" style="48" customWidth="1"/>
    <col min="2308" max="2308" width="21" style="48" customWidth="1"/>
    <col min="2309" max="2559" width="9.140625" style="48"/>
    <col min="2560" max="2560" width="17.28515625" style="48" customWidth="1"/>
    <col min="2561" max="2561" width="9.140625" style="48"/>
    <col min="2562" max="2562" width="34.28515625" style="48" customWidth="1"/>
    <col min="2563" max="2563" width="11.7109375" style="48" customWidth="1"/>
    <col min="2564" max="2564" width="21" style="48" customWidth="1"/>
    <col min="2565" max="2815" width="9.140625" style="48"/>
    <col min="2816" max="2816" width="17.28515625" style="48" customWidth="1"/>
    <col min="2817" max="2817" width="9.140625" style="48"/>
    <col min="2818" max="2818" width="34.28515625" style="48" customWidth="1"/>
    <col min="2819" max="2819" width="11.7109375" style="48" customWidth="1"/>
    <col min="2820" max="2820" width="21" style="48" customWidth="1"/>
    <col min="2821" max="3071" width="9.140625" style="48"/>
    <col min="3072" max="3072" width="17.28515625" style="48" customWidth="1"/>
    <col min="3073" max="3073" width="9.140625" style="48"/>
    <col min="3074" max="3074" width="34.28515625" style="48" customWidth="1"/>
    <col min="3075" max="3075" width="11.7109375" style="48" customWidth="1"/>
    <col min="3076" max="3076" width="21" style="48" customWidth="1"/>
    <col min="3077" max="3327" width="9.140625" style="48"/>
    <col min="3328" max="3328" width="17.28515625" style="48" customWidth="1"/>
    <col min="3329" max="3329" width="9.140625" style="48"/>
    <col min="3330" max="3330" width="34.28515625" style="48" customWidth="1"/>
    <col min="3331" max="3331" width="11.7109375" style="48" customWidth="1"/>
    <col min="3332" max="3332" width="21" style="48" customWidth="1"/>
    <col min="3333" max="3583" width="9.140625" style="48"/>
    <col min="3584" max="3584" width="17.28515625" style="48" customWidth="1"/>
    <col min="3585" max="3585" width="9.140625" style="48"/>
    <col min="3586" max="3586" width="34.28515625" style="48" customWidth="1"/>
    <col min="3587" max="3587" width="11.7109375" style="48" customWidth="1"/>
    <col min="3588" max="3588" width="21" style="48" customWidth="1"/>
    <col min="3589" max="3839" width="9.140625" style="48"/>
    <col min="3840" max="3840" width="17.28515625" style="48" customWidth="1"/>
    <col min="3841" max="3841" width="9.140625" style="48"/>
    <col min="3842" max="3842" width="34.28515625" style="48" customWidth="1"/>
    <col min="3843" max="3843" width="11.7109375" style="48" customWidth="1"/>
    <col min="3844" max="3844" width="21" style="48" customWidth="1"/>
    <col min="3845" max="4095" width="9.140625" style="48"/>
    <col min="4096" max="4096" width="17.28515625" style="48" customWidth="1"/>
    <col min="4097" max="4097" width="9.140625" style="48"/>
    <col min="4098" max="4098" width="34.28515625" style="48" customWidth="1"/>
    <col min="4099" max="4099" width="11.7109375" style="48" customWidth="1"/>
    <col min="4100" max="4100" width="21" style="48" customWidth="1"/>
    <col min="4101" max="4351" width="9.140625" style="48"/>
    <col min="4352" max="4352" width="17.28515625" style="48" customWidth="1"/>
    <col min="4353" max="4353" width="9.140625" style="48"/>
    <col min="4354" max="4354" width="34.28515625" style="48" customWidth="1"/>
    <col min="4355" max="4355" width="11.7109375" style="48" customWidth="1"/>
    <col min="4356" max="4356" width="21" style="48" customWidth="1"/>
    <col min="4357" max="4607" width="9.140625" style="48"/>
    <col min="4608" max="4608" width="17.28515625" style="48" customWidth="1"/>
    <col min="4609" max="4609" width="9.140625" style="48"/>
    <col min="4610" max="4610" width="34.28515625" style="48" customWidth="1"/>
    <col min="4611" max="4611" width="11.7109375" style="48" customWidth="1"/>
    <col min="4612" max="4612" width="21" style="48" customWidth="1"/>
    <col min="4613" max="4863" width="9.140625" style="48"/>
    <col min="4864" max="4864" width="17.28515625" style="48" customWidth="1"/>
    <col min="4865" max="4865" width="9.140625" style="48"/>
    <col min="4866" max="4866" width="34.28515625" style="48" customWidth="1"/>
    <col min="4867" max="4867" width="11.7109375" style="48" customWidth="1"/>
    <col min="4868" max="4868" width="21" style="48" customWidth="1"/>
    <col min="4869" max="5119" width="9.140625" style="48"/>
    <col min="5120" max="5120" width="17.28515625" style="48" customWidth="1"/>
    <col min="5121" max="5121" width="9.140625" style="48"/>
    <col min="5122" max="5122" width="34.28515625" style="48" customWidth="1"/>
    <col min="5123" max="5123" width="11.7109375" style="48" customWidth="1"/>
    <col min="5124" max="5124" width="21" style="48" customWidth="1"/>
    <col min="5125" max="5375" width="9.140625" style="48"/>
    <col min="5376" max="5376" width="17.28515625" style="48" customWidth="1"/>
    <col min="5377" max="5377" width="9.140625" style="48"/>
    <col min="5378" max="5378" width="34.28515625" style="48" customWidth="1"/>
    <col min="5379" max="5379" width="11.7109375" style="48" customWidth="1"/>
    <col min="5380" max="5380" width="21" style="48" customWidth="1"/>
    <col min="5381" max="5631" width="9.140625" style="48"/>
    <col min="5632" max="5632" width="17.28515625" style="48" customWidth="1"/>
    <col min="5633" max="5633" width="9.140625" style="48"/>
    <col min="5634" max="5634" width="34.28515625" style="48" customWidth="1"/>
    <col min="5635" max="5635" width="11.7109375" style="48" customWidth="1"/>
    <col min="5636" max="5636" width="21" style="48" customWidth="1"/>
    <col min="5637" max="5887" width="9.140625" style="48"/>
    <col min="5888" max="5888" width="17.28515625" style="48" customWidth="1"/>
    <col min="5889" max="5889" width="9.140625" style="48"/>
    <col min="5890" max="5890" width="34.28515625" style="48" customWidth="1"/>
    <col min="5891" max="5891" width="11.7109375" style="48" customWidth="1"/>
    <col min="5892" max="5892" width="21" style="48" customWidth="1"/>
    <col min="5893" max="6143" width="9.140625" style="48"/>
    <col min="6144" max="6144" width="17.28515625" style="48" customWidth="1"/>
    <col min="6145" max="6145" width="9.140625" style="48"/>
    <col min="6146" max="6146" width="34.28515625" style="48" customWidth="1"/>
    <col min="6147" max="6147" width="11.7109375" style="48" customWidth="1"/>
    <col min="6148" max="6148" width="21" style="48" customWidth="1"/>
    <col min="6149" max="6399" width="9.140625" style="48"/>
    <col min="6400" max="6400" width="17.28515625" style="48" customWidth="1"/>
    <col min="6401" max="6401" width="9.140625" style="48"/>
    <col min="6402" max="6402" width="34.28515625" style="48" customWidth="1"/>
    <col min="6403" max="6403" width="11.7109375" style="48" customWidth="1"/>
    <col min="6404" max="6404" width="21" style="48" customWidth="1"/>
    <col min="6405" max="6655" width="9.140625" style="48"/>
    <col min="6656" max="6656" width="17.28515625" style="48" customWidth="1"/>
    <col min="6657" max="6657" width="9.140625" style="48"/>
    <col min="6658" max="6658" width="34.28515625" style="48" customWidth="1"/>
    <col min="6659" max="6659" width="11.7109375" style="48" customWidth="1"/>
    <col min="6660" max="6660" width="21" style="48" customWidth="1"/>
    <col min="6661" max="6911" width="9.140625" style="48"/>
    <col min="6912" max="6912" width="17.28515625" style="48" customWidth="1"/>
    <col min="6913" max="6913" width="9.140625" style="48"/>
    <col min="6914" max="6914" width="34.28515625" style="48" customWidth="1"/>
    <col min="6915" max="6915" width="11.7109375" style="48" customWidth="1"/>
    <col min="6916" max="6916" width="21" style="48" customWidth="1"/>
    <col min="6917" max="7167" width="9.140625" style="48"/>
    <col min="7168" max="7168" width="17.28515625" style="48" customWidth="1"/>
    <col min="7169" max="7169" width="9.140625" style="48"/>
    <col min="7170" max="7170" width="34.28515625" style="48" customWidth="1"/>
    <col min="7171" max="7171" width="11.7109375" style="48" customWidth="1"/>
    <col min="7172" max="7172" width="21" style="48" customWidth="1"/>
    <col min="7173" max="7423" width="9.140625" style="48"/>
    <col min="7424" max="7424" width="17.28515625" style="48" customWidth="1"/>
    <col min="7425" max="7425" width="9.140625" style="48"/>
    <col min="7426" max="7426" width="34.28515625" style="48" customWidth="1"/>
    <col min="7427" max="7427" width="11.7109375" style="48" customWidth="1"/>
    <col min="7428" max="7428" width="21" style="48" customWidth="1"/>
    <col min="7429" max="7679" width="9.140625" style="48"/>
    <col min="7680" max="7680" width="17.28515625" style="48" customWidth="1"/>
    <col min="7681" max="7681" width="9.140625" style="48"/>
    <col min="7682" max="7682" width="34.28515625" style="48" customWidth="1"/>
    <col min="7683" max="7683" width="11.7109375" style="48" customWidth="1"/>
    <col min="7684" max="7684" width="21" style="48" customWidth="1"/>
    <col min="7685" max="7935" width="9.140625" style="48"/>
    <col min="7936" max="7936" width="17.28515625" style="48" customWidth="1"/>
    <col min="7937" max="7937" width="9.140625" style="48"/>
    <col min="7938" max="7938" width="34.28515625" style="48" customWidth="1"/>
    <col min="7939" max="7939" width="11.7109375" style="48" customWidth="1"/>
    <col min="7940" max="7940" width="21" style="48" customWidth="1"/>
    <col min="7941" max="8191" width="9.140625" style="48"/>
    <col min="8192" max="8192" width="17.28515625" style="48" customWidth="1"/>
    <col min="8193" max="8193" width="9.140625" style="48"/>
    <col min="8194" max="8194" width="34.28515625" style="48" customWidth="1"/>
    <col min="8195" max="8195" width="11.7109375" style="48" customWidth="1"/>
    <col min="8196" max="8196" width="21" style="48" customWidth="1"/>
    <col min="8197" max="8447" width="9.140625" style="48"/>
    <col min="8448" max="8448" width="17.28515625" style="48" customWidth="1"/>
    <col min="8449" max="8449" width="9.140625" style="48"/>
    <col min="8450" max="8450" width="34.28515625" style="48" customWidth="1"/>
    <col min="8451" max="8451" width="11.7109375" style="48" customWidth="1"/>
    <col min="8452" max="8452" width="21" style="48" customWidth="1"/>
    <col min="8453" max="8703" width="9.140625" style="48"/>
    <col min="8704" max="8704" width="17.28515625" style="48" customWidth="1"/>
    <col min="8705" max="8705" width="9.140625" style="48"/>
    <col min="8706" max="8706" width="34.28515625" style="48" customWidth="1"/>
    <col min="8707" max="8707" width="11.7109375" style="48" customWidth="1"/>
    <col min="8708" max="8708" width="21" style="48" customWidth="1"/>
    <col min="8709" max="8959" width="9.140625" style="48"/>
    <col min="8960" max="8960" width="17.28515625" style="48" customWidth="1"/>
    <col min="8961" max="8961" width="9.140625" style="48"/>
    <col min="8962" max="8962" width="34.28515625" style="48" customWidth="1"/>
    <col min="8963" max="8963" width="11.7109375" style="48" customWidth="1"/>
    <col min="8964" max="8964" width="21" style="48" customWidth="1"/>
    <col min="8965" max="9215" width="9.140625" style="48"/>
    <col min="9216" max="9216" width="17.28515625" style="48" customWidth="1"/>
    <col min="9217" max="9217" width="9.140625" style="48"/>
    <col min="9218" max="9218" width="34.28515625" style="48" customWidth="1"/>
    <col min="9219" max="9219" width="11.7109375" style="48" customWidth="1"/>
    <col min="9220" max="9220" width="21" style="48" customWidth="1"/>
    <col min="9221" max="9471" width="9.140625" style="48"/>
    <col min="9472" max="9472" width="17.28515625" style="48" customWidth="1"/>
    <col min="9473" max="9473" width="9.140625" style="48"/>
    <col min="9474" max="9474" width="34.28515625" style="48" customWidth="1"/>
    <col min="9475" max="9475" width="11.7109375" style="48" customWidth="1"/>
    <col min="9476" max="9476" width="21" style="48" customWidth="1"/>
    <col min="9477" max="9727" width="9.140625" style="48"/>
    <col min="9728" max="9728" width="17.28515625" style="48" customWidth="1"/>
    <col min="9729" max="9729" width="9.140625" style="48"/>
    <col min="9730" max="9730" width="34.28515625" style="48" customWidth="1"/>
    <col min="9731" max="9731" width="11.7109375" style="48" customWidth="1"/>
    <col min="9732" max="9732" width="21" style="48" customWidth="1"/>
    <col min="9733" max="9983" width="9.140625" style="48"/>
    <col min="9984" max="9984" width="17.28515625" style="48" customWidth="1"/>
    <col min="9985" max="9985" width="9.140625" style="48"/>
    <col min="9986" max="9986" width="34.28515625" style="48" customWidth="1"/>
    <col min="9987" max="9987" width="11.7109375" style="48" customWidth="1"/>
    <col min="9988" max="9988" width="21" style="48" customWidth="1"/>
    <col min="9989" max="10239" width="9.140625" style="48"/>
    <col min="10240" max="10240" width="17.28515625" style="48" customWidth="1"/>
    <col min="10241" max="10241" width="9.140625" style="48"/>
    <col min="10242" max="10242" width="34.28515625" style="48" customWidth="1"/>
    <col min="10243" max="10243" width="11.7109375" style="48" customWidth="1"/>
    <col min="10244" max="10244" width="21" style="48" customWidth="1"/>
    <col min="10245" max="10495" width="9.140625" style="48"/>
    <col min="10496" max="10496" width="17.28515625" style="48" customWidth="1"/>
    <col min="10497" max="10497" width="9.140625" style="48"/>
    <col min="10498" max="10498" width="34.28515625" style="48" customWidth="1"/>
    <col min="10499" max="10499" width="11.7109375" style="48" customWidth="1"/>
    <col min="10500" max="10500" width="21" style="48" customWidth="1"/>
    <col min="10501" max="10751" width="9.140625" style="48"/>
    <col min="10752" max="10752" width="17.28515625" style="48" customWidth="1"/>
    <col min="10753" max="10753" width="9.140625" style="48"/>
    <col min="10754" max="10754" width="34.28515625" style="48" customWidth="1"/>
    <col min="10755" max="10755" width="11.7109375" style="48" customWidth="1"/>
    <col min="10756" max="10756" width="21" style="48" customWidth="1"/>
    <col min="10757" max="11007" width="9.140625" style="48"/>
    <col min="11008" max="11008" width="17.28515625" style="48" customWidth="1"/>
    <col min="11009" max="11009" width="9.140625" style="48"/>
    <col min="11010" max="11010" width="34.28515625" style="48" customWidth="1"/>
    <col min="11011" max="11011" width="11.7109375" style="48" customWidth="1"/>
    <col min="11012" max="11012" width="21" style="48" customWidth="1"/>
    <col min="11013" max="11263" width="9.140625" style="48"/>
    <col min="11264" max="11264" width="17.28515625" style="48" customWidth="1"/>
    <col min="11265" max="11265" width="9.140625" style="48"/>
    <col min="11266" max="11266" width="34.28515625" style="48" customWidth="1"/>
    <col min="11267" max="11267" width="11.7109375" style="48" customWidth="1"/>
    <col min="11268" max="11268" width="21" style="48" customWidth="1"/>
    <col min="11269" max="11519" width="9.140625" style="48"/>
    <col min="11520" max="11520" width="17.28515625" style="48" customWidth="1"/>
    <col min="11521" max="11521" width="9.140625" style="48"/>
    <col min="11522" max="11522" width="34.28515625" style="48" customWidth="1"/>
    <col min="11523" max="11523" width="11.7109375" style="48" customWidth="1"/>
    <col min="11524" max="11524" width="21" style="48" customWidth="1"/>
    <col min="11525" max="11775" width="9.140625" style="48"/>
    <col min="11776" max="11776" width="17.28515625" style="48" customWidth="1"/>
    <col min="11777" max="11777" width="9.140625" style="48"/>
    <col min="11778" max="11778" width="34.28515625" style="48" customWidth="1"/>
    <col min="11779" max="11779" width="11.7109375" style="48" customWidth="1"/>
    <col min="11780" max="11780" width="21" style="48" customWidth="1"/>
    <col min="11781" max="12031" width="9.140625" style="48"/>
    <col min="12032" max="12032" width="17.28515625" style="48" customWidth="1"/>
    <col min="12033" max="12033" width="9.140625" style="48"/>
    <col min="12034" max="12034" width="34.28515625" style="48" customWidth="1"/>
    <col min="12035" max="12035" width="11.7109375" style="48" customWidth="1"/>
    <col min="12036" max="12036" width="21" style="48" customWidth="1"/>
    <col min="12037" max="12287" width="9.140625" style="48"/>
    <col min="12288" max="12288" width="17.28515625" style="48" customWidth="1"/>
    <col min="12289" max="12289" width="9.140625" style="48"/>
    <col min="12290" max="12290" width="34.28515625" style="48" customWidth="1"/>
    <col min="12291" max="12291" width="11.7109375" style="48" customWidth="1"/>
    <col min="12292" max="12292" width="21" style="48" customWidth="1"/>
    <col min="12293" max="12543" width="9.140625" style="48"/>
    <col min="12544" max="12544" width="17.28515625" style="48" customWidth="1"/>
    <col min="12545" max="12545" width="9.140625" style="48"/>
    <col min="12546" max="12546" width="34.28515625" style="48" customWidth="1"/>
    <col min="12547" max="12547" width="11.7109375" style="48" customWidth="1"/>
    <col min="12548" max="12548" width="21" style="48" customWidth="1"/>
    <col min="12549" max="12799" width="9.140625" style="48"/>
    <col min="12800" max="12800" width="17.28515625" style="48" customWidth="1"/>
    <col min="12801" max="12801" width="9.140625" style="48"/>
    <col min="12802" max="12802" width="34.28515625" style="48" customWidth="1"/>
    <col min="12803" max="12803" width="11.7109375" style="48" customWidth="1"/>
    <col min="12804" max="12804" width="21" style="48" customWidth="1"/>
    <col min="12805" max="13055" width="9.140625" style="48"/>
    <col min="13056" max="13056" width="17.28515625" style="48" customWidth="1"/>
    <col min="13057" max="13057" width="9.140625" style="48"/>
    <col min="13058" max="13058" width="34.28515625" style="48" customWidth="1"/>
    <col min="13059" max="13059" width="11.7109375" style="48" customWidth="1"/>
    <col min="13060" max="13060" width="21" style="48" customWidth="1"/>
    <col min="13061" max="13311" width="9.140625" style="48"/>
    <col min="13312" max="13312" width="17.28515625" style="48" customWidth="1"/>
    <col min="13313" max="13313" width="9.140625" style="48"/>
    <col min="13314" max="13314" width="34.28515625" style="48" customWidth="1"/>
    <col min="13315" max="13315" width="11.7109375" style="48" customWidth="1"/>
    <col min="13316" max="13316" width="21" style="48" customWidth="1"/>
    <col min="13317" max="13567" width="9.140625" style="48"/>
    <col min="13568" max="13568" width="17.28515625" style="48" customWidth="1"/>
    <col min="13569" max="13569" width="9.140625" style="48"/>
    <col min="13570" max="13570" width="34.28515625" style="48" customWidth="1"/>
    <col min="13571" max="13571" width="11.7109375" style="48" customWidth="1"/>
    <col min="13572" max="13572" width="21" style="48" customWidth="1"/>
    <col min="13573" max="13823" width="9.140625" style="48"/>
    <col min="13824" max="13824" width="17.28515625" style="48" customWidth="1"/>
    <col min="13825" max="13825" width="9.140625" style="48"/>
    <col min="13826" max="13826" width="34.28515625" style="48" customWidth="1"/>
    <col min="13827" max="13827" width="11.7109375" style="48" customWidth="1"/>
    <col min="13828" max="13828" width="21" style="48" customWidth="1"/>
    <col min="13829" max="14079" width="9.140625" style="48"/>
    <col min="14080" max="14080" width="17.28515625" style="48" customWidth="1"/>
    <col min="14081" max="14081" width="9.140625" style="48"/>
    <col min="14082" max="14082" width="34.28515625" style="48" customWidth="1"/>
    <col min="14083" max="14083" width="11.7109375" style="48" customWidth="1"/>
    <col min="14084" max="14084" width="21" style="48" customWidth="1"/>
    <col min="14085" max="14335" width="9.140625" style="48"/>
    <col min="14336" max="14336" width="17.28515625" style="48" customWidth="1"/>
    <col min="14337" max="14337" width="9.140625" style="48"/>
    <col min="14338" max="14338" width="34.28515625" style="48" customWidth="1"/>
    <col min="14339" max="14339" width="11.7109375" style="48" customWidth="1"/>
    <col min="14340" max="14340" width="21" style="48" customWidth="1"/>
    <col min="14341" max="14591" width="9.140625" style="48"/>
    <col min="14592" max="14592" width="17.28515625" style="48" customWidth="1"/>
    <col min="14593" max="14593" width="9.140625" style="48"/>
    <col min="14594" max="14594" width="34.28515625" style="48" customWidth="1"/>
    <col min="14595" max="14595" width="11.7109375" style="48" customWidth="1"/>
    <col min="14596" max="14596" width="21" style="48" customWidth="1"/>
    <col min="14597" max="14847" width="9.140625" style="48"/>
    <col min="14848" max="14848" width="17.28515625" style="48" customWidth="1"/>
    <col min="14849" max="14849" width="9.140625" style="48"/>
    <col min="14850" max="14850" width="34.28515625" style="48" customWidth="1"/>
    <col min="14851" max="14851" width="11.7109375" style="48" customWidth="1"/>
    <col min="14852" max="14852" width="21" style="48" customWidth="1"/>
    <col min="14853" max="15103" width="9.140625" style="48"/>
    <col min="15104" max="15104" width="17.28515625" style="48" customWidth="1"/>
    <col min="15105" max="15105" width="9.140625" style="48"/>
    <col min="15106" max="15106" width="34.28515625" style="48" customWidth="1"/>
    <col min="15107" max="15107" width="11.7109375" style="48" customWidth="1"/>
    <col min="15108" max="15108" width="21" style="48" customWidth="1"/>
    <col min="15109" max="15359" width="9.140625" style="48"/>
    <col min="15360" max="15360" width="17.28515625" style="48" customWidth="1"/>
    <col min="15361" max="15361" width="9.140625" style="48"/>
    <col min="15362" max="15362" width="34.28515625" style="48" customWidth="1"/>
    <col min="15363" max="15363" width="11.7109375" style="48" customWidth="1"/>
    <col min="15364" max="15364" width="21" style="48" customWidth="1"/>
    <col min="15365" max="15615" width="9.140625" style="48"/>
    <col min="15616" max="15616" width="17.28515625" style="48" customWidth="1"/>
    <col min="15617" max="15617" width="9.140625" style="48"/>
    <col min="15618" max="15618" width="34.28515625" style="48" customWidth="1"/>
    <col min="15619" max="15619" width="11.7109375" style="48" customWidth="1"/>
    <col min="15620" max="15620" width="21" style="48" customWidth="1"/>
    <col min="15621" max="15871" width="9.140625" style="48"/>
    <col min="15872" max="15872" width="17.28515625" style="48" customWidth="1"/>
    <col min="15873" max="15873" width="9.140625" style="48"/>
    <col min="15874" max="15874" width="34.28515625" style="48" customWidth="1"/>
    <col min="15875" max="15875" width="11.7109375" style="48" customWidth="1"/>
    <col min="15876" max="15876" width="21" style="48" customWidth="1"/>
    <col min="15877" max="16127" width="9.140625" style="48"/>
    <col min="16128" max="16128" width="17.28515625" style="48" customWidth="1"/>
    <col min="16129" max="16129" width="9.140625" style="48"/>
    <col min="16130" max="16130" width="34.28515625" style="48" customWidth="1"/>
    <col min="16131" max="16131" width="11.7109375" style="48" customWidth="1"/>
    <col min="16132" max="16132" width="21" style="48" customWidth="1"/>
    <col min="16133" max="16384" width="9.140625" style="48"/>
  </cols>
  <sheetData>
    <row r="1" spans="1:4" s="47" customFormat="1">
      <c r="A1" s="45"/>
      <c r="B1" s="45"/>
      <c r="C1" s="46"/>
      <c r="D1" s="46"/>
    </row>
    <row r="2" spans="1:4" s="47" customFormat="1">
      <c r="A2" s="676" t="s">
        <v>234</v>
      </c>
      <c r="B2" s="677"/>
      <c r="C2" s="677"/>
      <c r="D2" s="677"/>
    </row>
    <row r="3" spans="1:4" s="47" customFormat="1">
      <c r="A3" s="678"/>
      <c r="B3" s="678"/>
      <c r="C3" s="678"/>
      <c r="D3" s="678"/>
    </row>
    <row r="4" spans="1:4">
      <c r="A4" s="103"/>
      <c r="B4" s="103"/>
      <c r="C4" s="103"/>
      <c r="D4" s="103"/>
    </row>
    <row r="5" spans="1:4" ht="25.5" customHeight="1">
      <c r="A5" s="674" t="s">
        <v>235</v>
      </c>
      <c r="B5" s="675"/>
      <c r="C5" s="675"/>
      <c r="D5" s="675"/>
    </row>
    <row r="6" spans="1:4">
      <c r="A6" s="104"/>
      <c r="B6" s="104"/>
      <c r="C6" s="104"/>
      <c r="D6" s="104"/>
    </row>
    <row r="7" spans="1:4">
      <c r="A7" s="105" t="s">
        <v>205</v>
      </c>
      <c r="B7" s="49" t="s">
        <v>236</v>
      </c>
      <c r="C7" s="49"/>
      <c r="D7" s="50" t="s">
        <v>237</v>
      </c>
    </row>
    <row r="8" spans="1:4">
      <c r="A8" s="107" t="s">
        <v>238</v>
      </c>
      <c r="B8" s="52" t="s">
        <v>239</v>
      </c>
      <c r="C8" s="52"/>
      <c r="D8" s="296">
        <v>0.03</v>
      </c>
    </row>
    <row r="9" spans="1:4">
      <c r="A9" s="107" t="s">
        <v>240</v>
      </c>
      <c r="B9" s="52" t="s">
        <v>241</v>
      </c>
      <c r="C9" s="52"/>
      <c r="D9" s="296">
        <v>3.5000000000000001E-3</v>
      </c>
    </row>
    <row r="10" spans="1:4">
      <c r="A10" s="107" t="s">
        <v>242</v>
      </c>
      <c r="B10" s="52" t="s">
        <v>243</v>
      </c>
      <c r="C10" s="52"/>
      <c r="D10" s="296">
        <v>0.01</v>
      </c>
    </row>
    <row r="11" spans="1:4">
      <c r="A11" s="107" t="s">
        <v>244</v>
      </c>
      <c r="B11" s="52" t="s">
        <v>158</v>
      </c>
      <c r="C11" s="52"/>
      <c r="D11" s="296">
        <v>0.01</v>
      </c>
    </row>
    <row r="12" spans="1:4">
      <c r="A12" s="107" t="s">
        <v>245</v>
      </c>
      <c r="B12" s="52" t="s">
        <v>246</v>
      </c>
      <c r="C12" s="52"/>
      <c r="D12" s="296">
        <v>1.15E-2</v>
      </c>
    </row>
    <row r="13" spans="1:4">
      <c r="A13" s="107" t="s">
        <v>247</v>
      </c>
      <c r="B13" s="52" t="s">
        <v>248</v>
      </c>
      <c r="C13" s="52"/>
      <c r="D13" s="296">
        <v>5.7099999999999998E-2</v>
      </c>
    </row>
    <row r="14" spans="1:4">
      <c r="A14" s="107" t="s">
        <v>249</v>
      </c>
      <c r="B14" s="52" t="s">
        <v>120</v>
      </c>
      <c r="C14" s="52"/>
      <c r="D14" s="53">
        <f>SUM(D15:D18)</f>
        <v>0.11650000000000001</v>
      </c>
    </row>
    <row r="15" spans="1:4">
      <c r="A15" s="112" t="s">
        <v>250</v>
      </c>
      <c r="B15" s="104"/>
      <c r="C15" s="51"/>
      <c r="D15" s="295">
        <v>3.5000000000000003E-2</v>
      </c>
    </row>
    <row r="16" spans="1:4">
      <c r="A16" s="112" t="s">
        <v>251</v>
      </c>
      <c r="B16" s="104"/>
      <c r="C16" s="51"/>
      <c r="D16" s="295">
        <v>6.4999999999999997E-3</v>
      </c>
    </row>
    <row r="17" spans="1:4">
      <c r="A17" s="112" t="s">
        <v>252</v>
      </c>
      <c r="B17" s="104"/>
      <c r="C17" s="51"/>
      <c r="D17" s="295">
        <v>0.03</v>
      </c>
    </row>
    <row r="18" spans="1:4">
      <c r="A18" s="112" t="s">
        <v>253</v>
      </c>
      <c r="B18" s="104"/>
      <c r="C18" s="51"/>
      <c r="D18" s="295">
        <v>4.4999999999999998E-2</v>
      </c>
    </row>
    <row r="19" spans="1:4">
      <c r="A19" s="106"/>
      <c r="B19" s="104"/>
      <c r="C19" s="51"/>
      <c r="D19" s="54"/>
    </row>
    <row r="20" spans="1:4">
      <c r="A20" s="106"/>
      <c r="B20" s="104"/>
      <c r="C20" s="104"/>
      <c r="D20" s="108"/>
    </row>
    <row r="21" spans="1:4">
      <c r="A21" s="109" t="s">
        <v>254</v>
      </c>
      <c r="B21" s="110"/>
      <c r="C21" s="110"/>
      <c r="D21" s="55">
        <f>ROUND((((1+D8+D9+D10+D11)*(1+D12)*(1+D13))/(1-D14))-1,4)</f>
        <v>0.27500000000000002</v>
      </c>
    </row>
    <row r="22" spans="1:4" ht="11.25" customHeight="1">
      <c r="A22" s="671" t="s">
        <v>255</v>
      </c>
      <c r="B22" s="671"/>
      <c r="C22" s="671"/>
      <c r="D22" s="671"/>
    </row>
    <row r="23" spans="1:4">
      <c r="A23" s="672"/>
      <c r="B23" s="672"/>
      <c r="C23" s="672"/>
      <c r="D23" s="672"/>
    </row>
    <row r="24" spans="1:4">
      <c r="A24" s="672"/>
      <c r="B24" s="672"/>
      <c r="C24" s="672"/>
      <c r="D24" s="672"/>
    </row>
    <row r="25" spans="1:4">
      <c r="A25" s="673" t="s">
        <v>256</v>
      </c>
      <c r="B25" s="673"/>
      <c r="C25" s="673"/>
      <c r="D25" s="673"/>
    </row>
    <row r="26" spans="1:4">
      <c r="A26" s="56"/>
      <c r="B26" s="56"/>
      <c r="C26" s="56"/>
      <c r="D26" s="56"/>
    </row>
    <row r="27" spans="1:4">
      <c r="A27" s="56"/>
      <c r="B27" s="56"/>
      <c r="C27" s="56"/>
      <c r="D27" s="56"/>
    </row>
    <row r="28" spans="1:4">
      <c r="A28" s="56"/>
      <c r="B28" s="56"/>
      <c r="C28" s="56"/>
      <c r="D28" s="56"/>
    </row>
    <row r="29" spans="1:4">
      <c r="A29" s="57"/>
      <c r="B29" s="111"/>
      <c r="C29" s="111"/>
      <c r="D29" s="111"/>
    </row>
    <row r="30" spans="1:4">
      <c r="A30" s="58"/>
      <c r="B30" s="59"/>
      <c r="C30" s="59"/>
      <c r="D30" s="59"/>
    </row>
  </sheetData>
  <mergeCells count="5">
    <mergeCell ref="A22:D24"/>
    <mergeCell ref="A25:D25"/>
    <mergeCell ref="A5:D5"/>
    <mergeCell ref="A2:D2"/>
    <mergeCell ref="A3:D3"/>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Q34"/>
  <sheetViews>
    <sheetView workbookViewId="0">
      <selection sqref="A1:H1"/>
    </sheetView>
  </sheetViews>
  <sheetFormatPr defaultRowHeight="15"/>
  <cols>
    <col min="1" max="1" width="2.28515625" customWidth="1"/>
    <col min="2" max="2" width="2.42578125" customWidth="1"/>
    <col min="3" max="3" width="46" customWidth="1"/>
    <col min="4" max="8" width="10" style="6" customWidth="1"/>
    <col min="9" max="11" width="9.140625" style="6"/>
    <col min="12" max="12" width="9.140625" style="195"/>
    <col min="13" max="13" width="9.140625" style="224"/>
    <col min="14" max="16" width="9.140625" style="213"/>
    <col min="17" max="17" width="9.140625" style="113"/>
  </cols>
  <sheetData>
    <row r="1" spans="1:17">
      <c r="A1" s="679" t="s">
        <v>417</v>
      </c>
      <c r="B1" s="679"/>
      <c r="C1" s="679"/>
      <c r="D1" s="679"/>
      <c r="E1" s="679"/>
      <c r="F1" s="679"/>
      <c r="G1" s="679"/>
      <c r="H1" s="679"/>
    </row>
    <row r="2" spans="1:17" s="7" customFormat="1">
      <c r="A2" s="229">
        <v>1</v>
      </c>
      <c r="B2" s="229"/>
      <c r="C2" s="229" t="s">
        <v>427</v>
      </c>
      <c r="D2" s="233" t="s">
        <v>441</v>
      </c>
      <c r="E2" s="233" t="s">
        <v>442</v>
      </c>
      <c r="F2" s="233" t="s">
        <v>443</v>
      </c>
      <c r="G2" s="233" t="s">
        <v>444</v>
      </c>
      <c r="H2" s="233" t="s">
        <v>445</v>
      </c>
      <c r="I2" s="225"/>
      <c r="J2" s="225"/>
      <c r="K2" s="225"/>
      <c r="L2" s="226"/>
      <c r="M2" s="227"/>
      <c r="N2" s="212"/>
      <c r="O2" s="212"/>
      <c r="P2" s="212"/>
      <c r="Q2" s="228"/>
    </row>
    <row r="3" spans="1:17">
      <c r="A3" s="231"/>
      <c r="B3" s="231" t="s">
        <v>430</v>
      </c>
      <c r="C3" s="231" t="s">
        <v>418</v>
      </c>
      <c r="D3" s="232"/>
      <c r="E3" s="232"/>
      <c r="F3" s="232"/>
      <c r="G3" s="232"/>
      <c r="H3" s="232"/>
    </row>
    <row r="4" spans="1:17">
      <c r="A4" s="231"/>
      <c r="B4" s="231" t="s">
        <v>431</v>
      </c>
      <c r="C4" s="231" t="s">
        <v>419</v>
      </c>
      <c r="D4" s="232"/>
      <c r="E4" s="232"/>
      <c r="F4" s="232"/>
      <c r="G4" s="232"/>
      <c r="H4" s="232"/>
    </row>
    <row r="5" spans="1:17">
      <c r="A5" s="231"/>
      <c r="B5" s="231" t="s">
        <v>432</v>
      </c>
      <c r="C5" s="231" t="s">
        <v>420</v>
      </c>
      <c r="D5" s="232"/>
      <c r="E5" s="232"/>
      <c r="F5" s="232"/>
      <c r="G5" s="232"/>
      <c r="H5" s="232"/>
    </row>
    <row r="6" spans="1:17">
      <c r="A6" s="231"/>
      <c r="B6" s="231" t="s">
        <v>433</v>
      </c>
      <c r="C6" s="231" t="s">
        <v>421</v>
      </c>
      <c r="D6" s="232"/>
      <c r="E6" s="232"/>
      <c r="F6" s="232"/>
      <c r="G6" s="232"/>
      <c r="H6" s="232"/>
    </row>
    <row r="7" spans="1:17">
      <c r="A7" s="231"/>
      <c r="B7" s="231" t="s">
        <v>434</v>
      </c>
      <c r="C7" s="231" t="s">
        <v>422</v>
      </c>
      <c r="D7" s="232"/>
      <c r="E7" s="232"/>
      <c r="F7" s="232"/>
      <c r="G7" s="232"/>
      <c r="H7" s="232"/>
    </row>
    <row r="8" spans="1:17">
      <c r="A8" s="231"/>
      <c r="B8" s="231" t="s">
        <v>189</v>
      </c>
      <c r="C8" s="231" t="s">
        <v>423</v>
      </c>
      <c r="D8" s="232"/>
      <c r="E8" s="232"/>
      <c r="F8" s="232"/>
      <c r="G8" s="232"/>
      <c r="H8" s="232"/>
    </row>
    <row r="9" spans="1:17">
      <c r="A9" s="231"/>
      <c r="B9" s="231" t="s">
        <v>435</v>
      </c>
      <c r="C9" s="231" t="s">
        <v>424</v>
      </c>
      <c r="D9" s="232"/>
      <c r="E9" s="232"/>
      <c r="F9" s="232"/>
      <c r="G9" s="232"/>
      <c r="H9" s="232"/>
    </row>
    <row r="10" spans="1:17">
      <c r="A10" s="231"/>
      <c r="B10" s="231" t="s">
        <v>436</v>
      </c>
      <c r="C10" s="231" t="s">
        <v>425</v>
      </c>
      <c r="D10" s="232"/>
      <c r="E10" s="232"/>
      <c r="F10" s="232"/>
      <c r="G10" s="232"/>
      <c r="H10" s="232"/>
    </row>
    <row r="11" spans="1:17">
      <c r="A11" s="231"/>
      <c r="B11" s="231" t="s">
        <v>437</v>
      </c>
      <c r="C11" s="231" t="s">
        <v>426</v>
      </c>
      <c r="D11" s="232"/>
      <c r="E11" s="232"/>
      <c r="F11" s="232"/>
      <c r="G11" s="232"/>
      <c r="H11" s="232"/>
    </row>
    <row r="12" spans="1:17" s="7" customFormat="1">
      <c r="A12" s="229">
        <v>2</v>
      </c>
      <c r="B12" s="229" t="s">
        <v>428</v>
      </c>
      <c r="C12" s="229" t="s">
        <v>429</v>
      </c>
      <c r="D12" s="230"/>
      <c r="E12" s="230"/>
      <c r="F12" s="230"/>
      <c r="G12" s="230"/>
      <c r="H12" s="230"/>
      <c r="I12" s="225"/>
      <c r="J12" s="225"/>
      <c r="K12" s="225"/>
      <c r="L12" s="226"/>
      <c r="M12" s="227"/>
      <c r="N12" s="212"/>
      <c r="O12" s="212"/>
      <c r="P12" s="212"/>
      <c r="Q12" s="228"/>
    </row>
    <row r="13" spans="1:17">
      <c r="A13" s="231"/>
      <c r="B13" s="231" t="s">
        <v>430</v>
      </c>
      <c r="C13" s="231" t="s">
        <v>438</v>
      </c>
      <c r="D13" s="232"/>
      <c r="E13" s="232"/>
      <c r="F13" s="232"/>
      <c r="G13" s="232"/>
      <c r="H13" s="232"/>
    </row>
    <row r="14" spans="1:17">
      <c r="A14" s="231"/>
      <c r="B14" s="231" t="s">
        <v>431</v>
      </c>
      <c r="C14" s="231" t="s">
        <v>439</v>
      </c>
      <c r="D14" s="232"/>
      <c r="E14" s="232"/>
      <c r="F14" s="232"/>
      <c r="G14" s="232"/>
      <c r="H14" s="232"/>
    </row>
    <row r="15" spans="1:17">
      <c r="A15" s="231"/>
      <c r="B15" s="231" t="s">
        <v>432</v>
      </c>
      <c r="C15" s="231" t="s">
        <v>440</v>
      </c>
      <c r="D15" s="232"/>
      <c r="E15" s="232"/>
      <c r="F15" s="232"/>
      <c r="G15" s="232"/>
      <c r="H15" s="232"/>
    </row>
    <row r="17" spans="1:8">
      <c r="C17" t="s">
        <v>447</v>
      </c>
      <c r="F17" s="6" t="s">
        <v>446</v>
      </c>
    </row>
    <row r="19" spans="1:8">
      <c r="B19" s="231"/>
      <c r="C19" t="s">
        <v>448</v>
      </c>
    </row>
    <row r="21" spans="1:8">
      <c r="B21" s="231"/>
      <c r="C21" t="s">
        <v>449</v>
      </c>
    </row>
    <row r="23" spans="1:8">
      <c r="C23" t="s">
        <v>450</v>
      </c>
    </row>
    <row r="24" spans="1:8">
      <c r="A24" s="234"/>
      <c r="B24" s="234"/>
      <c r="C24" s="234"/>
      <c r="D24" s="235"/>
      <c r="E24" s="235"/>
      <c r="F24" s="235"/>
      <c r="G24" s="235"/>
      <c r="H24" s="235"/>
    </row>
    <row r="26" spans="1:8">
      <c r="A26" s="234"/>
      <c r="B26" s="234"/>
      <c r="C26" s="234"/>
      <c r="D26" s="235"/>
      <c r="E26" s="235"/>
      <c r="F26" s="235"/>
      <c r="G26" s="235"/>
      <c r="H26" s="235"/>
    </row>
    <row r="28" spans="1:8">
      <c r="A28" s="234"/>
      <c r="B28" s="234"/>
      <c r="C28" s="234"/>
      <c r="D28" s="235"/>
      <c r="E28" s="235"/>
      <c r="F28" s="235"/>
      <c r="G28" s="235"/>
      <c r="H28" s="235"/>
    </row>
    <row r="30" spans="1:8">
      <c r="A30" s="234"/>
      <c r="B30" s="234"/>
      <c r="C30" s="234"/>
      <c r="D30" s="235"/>
      <c r="E30" s="235"/>
      <c r="F30" s="235"/>
      <c r="G30" s="235"/>
      <c r="H30" s="235"/>
    </row>
    <row r="32" spans="1:8">
      <c r="A32" s="234"/>
      <c r="B32" s="234"/>
      <c r="C32" s="234"/>
      <c r="D32" s="235"/>
      <c r="E32" s="235"/>
      <c r="F32" s="235"/>
      <c r="G32" s="235"/>
      <c r="H32" s="235"/>
    </row>
    <row r="34" spans="1:8">
      <c r="A34" s="234"/>
      <c r="B34" s="234"/>
      <c r="C34" s="234"/>
      <c r="D34" s="235"/>
      <c r="E34" s="235"/>
      <c r="F34" s="235"/>
      <c r="G34" s="235"/>
      <c r="H34" s="235"/>
    </row>
  </sheetData>
  <sortState ref="A4:B18">
    <sortCondition ref="B2"/>
  </sortState>
  <mergeCells count="1">
    <mergeCell ref="A1:H1"/>
  </mergeCells>
  <pageMargins left="0.511811024" right="0.511811024" top="0.78740157499999996" bottom="0.78740157499999996" header="0.31496062000000002" footer="0.31496062000000002"/>
  <pageSetup paperSize="9" scale="91" orientation="portrait"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dimension ref="A1:E94"/>
  <sheetViews>
    <sheetView workbookViewId="0">
      <selection sqref="A1:D1"/>
    </sheetView>
  </sheetViews>
  <sheetFormatPr defaultColWidth="25.42578125" defaultRowHeight="15"/>
  <cols>
    <col min="1" max="3" width="19.7109375" customWidth="1"/>
    <col min="4" max="4" width="22.28515625" customWidth="1"/>
    <col min="5" max="5" width="12.7109375" style="255" customWidth="1"/>
  </cols>
  <sheetData>
    <row r="1" spans="1:5" s="211" customFormat="1">
      <c r="A1" s="699" t="s">
        <v>451</v>
      </c>
      <c r="B1" s="699"/>
      <c r="C1" s="699"/>
      <c r="D1" s="699"/>
      <c r="E1" s="8"/>
    </row>
    <row r="2" spans="1:5" s="211" customFormat="1">
      <c r="A2" s="236" t="s">
        <v>452</v>
      </c>
      <c r="B2" s="236" t="s">
        <v>453</v>
      </c>
      <c r="C2" s="236" t="s">
        <v>454</v>
      </c>
      <c r="D2" s="236" t="s">
        <v>476</v>
      </c>
      <c r="E2" s="8"/>
    </row>
    <row r="3" spans="1:5" s="211" customFormat="1">
      <c r="A3" s="244">
        <v>3</v>
      </c>
      <c r="B3" s="244">
        <v>2</v>
      </c>
      <c r="C3" s="244">
        <v>1</v>
      </c>
      <c r="D3" s="244">
        <v>0</v>
      </c>
      <c r="E3" s="8"/>
    </row>
    <row r="4" spans="1:5">
      <c r="A4" s="238" t="s">
        <v>455</v>
      </c>
      <c r="B4" s="692" t="s">
        <v>456</v>
      </c>
      <c r="C4" s="693"/>
      <c r="D4" s="694"/>
    </row>
    <row r="5" spans="1:5">
      <c r="A5" s="689" t="s">
        <v>123</v>
      </c>
      <c r="B5" s="689" t="s">
        <v>462</v>
      </c>
      <c r="C5" s="697" t="s">
        <v>457</v>
      </c>
      <c r="D5" s="697"/>
    </row>
    <row r="6" spans="1:5">
      <c r="A6" s="689"/>
      <c r="B6" s="689"/>
      <c r="C6" s="697" t="s">
        <v>458</v>
      </c>
      <c r="D6" s="697"/>
    </row>
    <row r="7" spans="1:5">
      <c r="A7" s="689"/>
      <c r="B7" s="689"/>
      <c r="C7" s="697" t="s">
        <v>459</v>
      </c>
      <c r="D7" s="697"/>
    </row>
    <row r="8" spans="1:5">
      <c r="A8" s="689"/>
      <c r="B8" s="689"/>
      <c r="C8" s="697" t="s">
        <v>460</v>
      </c>
      <c r="D8" s="697"/>
    </row>
    <row r="9" spans="1:5">
      <c r="A9" s="689"/>
      <c r="B9" s="689"/>
      <c r="C9" s="697" t="s">
        <v>461</v>
      </c>
      <c r="D9" s="697"/>
    </row>
    <row r="10" spans="1:5">
      <c r="A10" s="689" t="s">
        <v>11</v>
      </c>
      <c r="B10" s="700" t="s">
        <v>466</v>
      </c>
      <c r="C10" s="697" t="s">
        <v>463</v>
      </c>
      <c r="D10" s="697"/>
    </row>
    <row r="11" spans="1:5">
      <c r="A11" s="689"/>
      <c r="B11" s="700"/>
      <c r="C11" s="697" t="s">
        <v>464</v>
      </c>
      <c r="D11" s="697"/>
    </row>
    <row r="12" spans="1:5">
      <c r="A12" s="689"/>
      <c r="B12" s="700"/>
      <c r="C12" s="697" t="s">
        <v>465</v>
      </c>
      <c r="D12" s="697"/>
    </row>
    <row r="13" spans="1:5">
      <c r="A13" s="689" t="s">
        <v>125</v>
      </c>
      <c r="B13" s="700" t="s">
        <v>472</v>
      </c>
      <c r="C13" s="697" t="s">
        <v>467</v>
      </c>
      <c r="D13" s="697"/>
    </row>
    <row r="14" spans="1:5">
      <c r="A14" s="689"/>
      <c r="B14" s="700"/>
      <c r="C14" s="697" t="s">
        <v>468</v>
      </c>
      <c r="D14" s="697"/>
    </row>
    <row r="15" spans="1:5">
      <c r="A15" s="689"/>
      <c r="B15" s="700"/>
      <c r="C15" s="697" t="s">
        <v>469</v>
      </c>
      <c r="D15" s="697"/>
    </row>
    <row r="16" spans="1:5">
      <c r="A16" s="689"/>
      <c r="B16" s="700"/>
      <c r="C16" s="697" t="s">
        <v>470</v>
      </c>
      <c r="D16" s="697"/>
    </row>
    <row r="17" spans="1:5">
      <c r="A17" s="689"/>
      <c r="B17" s="700"/>
      <c r="C17" s="690" t="s">
        <v>471</v>
      </c>
      <c r="D17" s="691"/>
    </row>
    <row r="18" spans="1:5">
      <c r="A18" s="689" t="s">
        <v>139</v>
      </c>
      <c r="B18" s="689" t="s">
        <v>475</v>
      </c>
      <c r="C18" s="690" t="s">
        <v>473</v>
      </c>
      <c r="D18" s="691"/>
    </row>
    <row r="19" spans="1:5" ht="30" customHeight="1">
      <c r="A19" s="689"/>
      <c r="B19" s="689"/>
      <c r="C19" s="698" t="s">
        <v>474</v>
      </c>
      <c r="D19" s="698"/>
    </row>
    <row r="20" spans="1:5">
      <c r="A20" s="695" t="s">
        <v>477</v>
      </c>
      <c r="B20" s="695"/>
      <c r="C20" s="695"/>
      <c r="D20" s="695"/>
    </row>
    <row r="21" spans="1:5">
      <c r="A21" s="679" t="s">
        <v>479</v>
      </c>
      <c r="B21" s="679"/>
      <c r="C21" s="679"/>
      <c r="D21" s="696" t="s">
        <v>478</v>
      </c>
    </row>
    <row r="22" spans="1:5">
      <c r="A22" s="679" t="s">
        <v>480</v>
      </c>
      <c r="B22" s="679"/>
      <c r="C22" s="679"/>
      <c r="D22" s="696"/>
    </row>
    <row r="23" spans="1:5">
      <c r="A23" s="688" t="s">
        <v>481</v>
      </c>
      <c r="B23" s="688"/>
      <c r="C23" s="688"/>
      <c r="D23" s="241"/>
    </row>
    <row r="24" spans="1:5">
      <c r="A24" s="687" t="s">
        <v>482</v>
      </c>
      <c r="B24" s="687"/>
      <c r="C24" s="687"/>
      <c r="D24" s="240">
        <v>3</v>
      </c>
      <c r="E24" s="680"/>
    </row>
    <row r="25" spans="1:5" ht="33.75" customHeight="1">
      <c r="A25" s="682" t="s">
        <v>483</v>
      </c>
      <c r="B25" s="682"/>
      <c r="C25" s="682"/>
      <c r="D25" s="240">
        <v>0</v>
      </c>
      <c r="E25" s="680"/>
    </row>
    <row r="26" spans="1:5">
      <c r="A26" s="688" t="s">
        <v>458</v>
      </c>
      <c r="B26" s="688"/>
      <c r="C26" s="688"/>
      <c r="D26" s="241"/>
    </row>
    <row r="27" spans="1:5">
      <c r="A27" s="687" t="s">
        <v>484</v>
      </c>
      <c r="B27" s="687"/>
      <c r="C27" s="687"/>
      <c r="D27" s="240">
        <v>3</v>
      </c>
      <c r="E27" s="680"/>
    </row>
    <row r="28" spans="1:5">
      <c r="A28" s="687" t="s">
        <v>485</v>
      </c>
      <c r="B28" s="687"/>
      <c r="C28" s="687"/>
      <c r="D28" s="240">
        <v>2</v>
      </c>
      <c r="E28" s="680"/>
    </row>
    <row r="29" spans="1:5">
      <c r="A29" s="687" t="s">
        <v>508</v>
      </c>
      <c r="B29" s="687"/>
      <c r="C29" s="687"/>
      <c r="D29" s="240">
        <v>0</v>
      </c>
      <c r="E29" s="680"/>
    </row>
    <row r="30" spans="1:5">
      <c r="A30" s="688" t="s">
        <v>459</v>
      </c>
      <c r="B30" s="688"/>
      <c r="C30" s="688"/>
      <c r="D30" s="241"/>
    </row>
    <row r="31" spans="1:5" ht="36" customHeight="1">
      <c r="A31" s="682" t="s">
        <v>486</v>
      </c>
      <c r="B31" s="682"/>
      <c r="C31" s="682"/>
      <c r="D31" s="240">
        <v>3</v>
      </c>
      <c r="E31" s="680"/>
    </row>
    <row r="32" spans="1:5" ht="47.25" customHeight="1">
      <c r="A32" s="682" t="s">
        <v>487</v>
      </c>
      <c r="B32" s="682"/>
      <c r="C32" s="682"/>
      <c r="D32" s="240">
        <v>0</v>
      </c>
      <c r="E32" s="680"/>
    </row>
    <row r="33" spans="1:5">
      <c r="A33" s="688" t="s">
        <v>460</v>
      </c>
      <c r="B33" s="688"/>
      <c r="C33" s="688"/>
      <c r="D33" s="241"/>
    </row>
    <row r="34" spans="1:5">
      <c r="A34" s="682" t="s">
        <v>488</v>
      </c>
      <c r="B34" s="682"/>
      <c r="C34" s="682"/>
      <c r="D34" s="240">
        <v>3</v>
      </c>
      <c r="E34" s="680"/>
    </row>
    <row r="35" spans="1:5" ht="36" customHeight="1">
      <c r="A35" s="682" t="s">
        <v>489</v>
      </c>
      <c r="B35" s="682"/>
      <c r="C35" s="682"/>
      <c r="D35" s="240">
        <v>0</v>
      </c>
      <c r="E35" s="680"/>
    </row>
    <row r="36" spans="1:5">
      <c r="A36" s="684" t="s">
        <v>461</v>
      </c>
      <c r="B36" s="684"/>
      <c r="C36" s="684"/>
      <c r="D36" s="241"/>
    </row>
    <row r="37" spans="1:5" ht="32.25" customHeight="1">
      <c r="A37" s="682" t="s">
        <v>490</v>
      </c>
      <c r="B37" s="682"/>
      <c r="C37" s="682"/>
      <c r="D37" s="240">
        <v>3</v>
      </c>
      <c r="E37" s="680"/>
    </row>
    <row r="38" spans="1:5" ht="31.5" customHeight="1">
      <c r="A38" s="682" t="s">
        <v>491</v>
      </c>
      <c r="B38" s="682"/>
      <c r="C38" s="682"/>
      <c r="D38" s="240">
        <v>2</v>
      </c>
      <c r="E38" s="680"/>
    </row>
    <row r="39" spans="1:5">
      <c r="A39" s="682" t="s">
        <v>492</v>
      </c>
      <c r="B39" s="682"/>
      <c r="C39" s="682"/>
      <c r="D39" s="240">
        <v>0</v>
      </c>
      <c r="E39" s="680"/>
    </row>
    <row r="40" spans="1:5">
      <c r="A40" s="685" t="s">
        <v>493</v>
      </c>
      <c r="B40" s="686"/>
      <c r="C40" s="686"/>
      <c r="D40" s="686"/>
    </row>
    <row r="41" spans="1:5">
      <c r="A41" s="684" t="s">
        <v>463</v>
      </c>
      <c r="B41" s="684"/>
      <c r="C41" s="684"/>
      <c r="D41" s="241"/>
    </row>
    <row r="42" spans="1:5" ht="63.75" customHeight="1">
      <c r="A42" s="682" t="s">
        <v>494</v>
      </c>
      <c r="B42" s="682"/>
      <c r="C42" s="682"/>
      <c r="D42" s="240">
        <v>3</v>
      </c>
      <c r="E42" s="680"/>
    </row>
    <row r="43" spans="1:5" ht="64.5" customHeight="1">
      <c r="A43" s="682" t="s">
        <v>495</v>
      </c>
      <c r="B43" s="682"/>
      <c r="C43" s="682"/>
      <c r="D43" s="240">
        <v>2</v>
      </c>
      <c r="E43" s="680"/>
    </row>
    <row r="44" spans="1:5" ht="53.25" customHeight="1">
      <c r="A44" s="682" t="s">
        <v>496</v>
      </c>
      <c r="B44" s="682"/>
      <c r="C44" s="682"/>
      <c r="D44" s="240">
        <v>1</v>
      </c>
      <c r="E44" s="680"/>
    </row>
    <row r="45" spans="1:5" ht="33" customHeight="1">
      <c r="A45" s="682" t="s">
        <v>497</v>
      </c>
      <c r="B45" s="682"/>
      <c r="C45" s="682"/>
      <c r="D45" s="240">
        <v>0</v>
      </c>
      <c r="E45" s="680"/>
    </row>
    <row r="46" spans="1:5">
      <c r="A46" s="684" t="s">
        <v>464</v>
      </c>
      <c r="B46" s="684"/>
      <c r="C46" s="684"/>
      <c r="D46" s="241"/>
    </row>
    <row r="47" spans="1:5" ht="48" customHeight="1">
      <c r="A47" s="682" t="s">
        <v>498</v>
      </c>
      <c r="B47" s="682"/>
      <c r="C47" s="682"/>
      <c r="D47" s="240">
        <v>3</v>
      </c>
      <c r="E47" s="680"/>
    </row>
    <row r="48" spans="1:5" ht="45.75" customHeight="1">
      <c r="A48" s="682" t="s">
        <v>499</v>
      </c>
      <c r="B48" s="682"/>
      <c r="C48" s="682"/>
      <c r="D48" s="240">
        <v>2</v>
      </c>
      <c r="E48" s="680"/>
    </row>
    <row r="49" spans="1:5" ht="45.75" customHeight="1">
      <c r="A49" s="681" t="s">
        <v>500</v>
      </c>
      <c r="B49" s="681"/>
      <c r="C49" s="681"/>
      <c r="D49" s="240">
        <v>0</v>
      </c>
      <c r="E49" s="680"/>
    </row>
    <row r="50" spans="1:5">
      <c r="A50" s="684" t="s">
        <v>465</v>
      </c>
      <c r="B50" s="684"/>
      <c r="C50" s="684"/>
      <c r="D50" s="241"/>
    </row>
    <row r="51" spans="1:5">
      <c r="A51" s="682" t="s">
        <v>502</v>
      </c>
      <c r="B51" s="682"/>
      <c r="C51" s="682"/>
      <c r="D51" s="240">
        <v>3</v>
      </c>
      <c r="E51" s="680"/>
    </row>
    <row r="52" spans="1:5">
      <c r="A52" s="682" t="s">
        <v>501</v>
      </c>
      <c r="B52" s="682"/>
      <c r="C52" s="682"/>
      <c r="D52" s="240">
        <v>2</v>
      </c>
      <c r="E52" s="680"/>
    </row>
    <row r="53" spans="1:5">
      <c r="A53" s="681" t="s">
        <v>503</v>
      </c>
      <c r="B53" s="681"/>
      <c r="C53" s="681"/>
      <c r="D53" s="240">
        <v>0</v>
      </c>
      <c r="E53" s="680"/>
    </row>
    <row r="54" spans="1:5">
      <c r="A54" s="685" t="s">
        <v>504</v>
      </c>
      <c r="B54" s="686"/>
      <c r="C54" s="686"/>
      <c r="D54" s="686"/>
    </row>
    <row r="55" spans="1:5">
      <c r="A55" s="684" t="s">
        <v>467</v>
      </c>
      <c r="B55" s="684"/>
      <c r="C55" s="684"/>
      <c r="D55" s="241"/>
    </row>
    <row r="56" spans="1:5">
      <c r="A56" s="682" t="s">
        <v>505</v>
      </c>
      <c r="B56" s="682"/>
      <c r="C56" s="682"/>
      <c r="D56" s="240">
        <v>3</v>
      </c>
      <c r="E56" s="680"/>
    </row>
    <row r="57" spans="1:5">
      <c r="A57" s="682" t="s">
        <v>506</v>
      </c>
      <c r="B57" s="682"/>
      <c r="C57" s="682"/>
      <c r="D57" s="240">
        <v>1</v>
      </c>
      <c r="E57" s="680"/>
    </row>
    <row r="58" spans="1:5">
      <c r="A58" s="681" t="s">
        <v>507</v>
      </c>
      <c r="B58" s="681"/>
      <c r="C58" s="681"/>
      <c r="D58" s="240">
        <v>0</v>
      </c>
      <c r="E58" s="680"/>
    </row>
    <row r="59" spans="1:5">
      <c r="A59" s="684" t="s">
        <v>468</v>
      </c>
      <c r="B59" s="684"/>
      <c r="C59" s="684"/>
      <c r="D59" s="241"/>
    </row>
    <row r="60" spans="1:5" ht="31.5" customHeight="1">
      <c r="A60" s="682" t="s">
        <v>509</v>
      </c>
      <c r="B60" s="682"/>
      <c r="C60" s="682"/>
      <c r="D60" s="240">
        <v>3</v>
      </c>
      <c r="E60" s="680"/>
    </row>
    <row r="61" spans="1:5" ht="33" customHeight="1">
      <c r="A61" s="682" t="s">
        <v>510</v>
      </c>
      <c r="B61" s="682"/>
      <c r="C61" s="682"/>
      <c r="D61" s="240">
        <v>2</v>
      </c>
      <c r="E61" s="680"/>
    </row>
    <row r="62" spans="1:5" ht="33.75" customHeight="1">
      <c r="A62" s="681" t="s">
        <v>511</v>
      </c>
      <c r="B62" s="681"/>
      <c r="C62" s="681"/>
      <c r="D62" s="240">
        <v>0</v>
      </c>
      <c r="E62" s="680"/>
    </row>
    <row r="63" spans="1:5">
      <c r="A63" s="684" t="s">
        <v>512</v>
      </c>
      <c r="B63" s="684"/>
      <c r="C63" s="684"/>
      <c r="D63" s="241"/>
    </row>
    <row r="64" spans="1:5">
      <c r="A64" s="682" t="s">
        <v>513</v>
      </c>
      <c r="B64" s="682"/>
      <c r="C64" s="682"/>
      <c r="D64" s="240">
        <v>3</v>
      </c>
      <c r="E64" s="680"/>
    </row>
    <row r="65" spans="1:5">
      <c r="A65" s="682" t="s">
        <v>514</v>
      </c>
      <c r="B65" s="682"/>
      <c r="C65" s="682"/>
      <c r="D65" s="240">
        <v>2</v>
      </c>
      <c r="E65" s="680"/>
    </row>
    <row r="66" spans="1:5">
      <c r="A66" s="681" t="s">
        <v>515</v>
      </c>
      <c r="B66" s="681"/>
      <c r="C66" s="681"/>
      <c r="D66" s="240">
        <v>1</v>
      </c>
      <c r="E66" s="680"/>
    </row>
    <row r="67" spans="1:5">
      <c r="A67" s="681" t="s">
        <v>516</v>
      </c>
      <c r="B67" s="681"/>
      <c r="C67" s="681"/>
      <c r="D67" s="240">
        <v>0</v>
      </c>
      <c r="E67" s="680"/>
    </row>
    <row r="68" spans="1:5" ht="33" customHeight="1">
      <c r="A68" s="683" t="s">
        <v>517</v>
      </c>
      <c r="B68" s="683"/>
      <c r="C68" s="683"/>
      <c r="D68" s="683"/>
    </row>
    <row r="69" spans="1:5">
      <c r="A69" s="682" t="s">
        <v>519</v>
      </c>
      <c r="B69" s="682"/>
      <c r="C69" s="682"/>
      <c r="D69" s="240">
        <v>3</v>
      </c>
      <c r="E69" s="680"/>
    </row>
    <row r="70" spans="1:5">
      <c r="A70" s="682" t="s">
        <v>520</v>
      </c>
      <c r="B70" s="682"/>
      <c r="C70" s="682"/>
      <c r="D70" s="240">
        <v>2</v>
      </c>
      <c r="E70" s="680"/>
    </row>
    <row r="71" spans="1:5">
      <c r="A71" s="681" t="s">
        <v>521</v>
      </c>
      <c r="B71" s="681"/>
      <c r="C71" s="681"/>
      <c r="D71" s="240">
        <v>1</v>
      </c>
      <c r="E71" s="680"/>
    </row>
    <row r="72" spans="1:5">
      <c r="A72" s="681" t="s">
        <v>518</v>
      </c>
      <c r="B72" s="681"/>
      <c r="C72" s="681"/>
      <c r="D72" s="240">
        <v>0</v>
      </c>
      <c r="E72" s="680"/>
    </row>
    <row r="73" spans="1:5" ht="32.25" customHeight="1">
      <c r="A73" s="683" t="s">
        <v>522</v>
      </c>
      <c r="B73" s="683"/>
      <c r="C73" s="683"/>
      <c r="D73" s="683"/>
    </row>
    <row r="74" spans="1:5">
      <c r="A74" s="682" t="s">
        <v>523</v>
      </c>
      <c r="B74" s="682"/>
      <c r="C74" s="682"/>
      <c r="D74" s="240">
        <v>3</v>
      </c>
      <c r="E74" s="680"/>
    </row>
    <row r="75" spans="1:5">
      <c r="A75" s="682" t="s">
        <v>524</v>
      </c>
      <c r="B75" s="682"/>
      <c r="C75" s="682"/>
      <c r="D75" s="240">
        <v>2</v>
      </c>
      <c r="E75" s="680"/>
    </row>
    <row r="76" spans="1:5">
      <c r="A76" s="681" t="s">
        <v>525</v>
      </c>
      <c r="B76" s="681"/>
      <c r="C76" s="681"/>
      <c r="D76" s="240">
        <v>1</v>
      </c>
      <c r="E76" s="680"/>
    </row>
    <row r="77" spans="1:5">
      <c r="A77" s="681" t="s">
        <v>526</v>
      </c>
      <c r="B77" s="681"/>
      <c r="C77" s="681"/>
      <c r="D77" s="240">
        <v>0</v>
      </c>
      <c r="E77" s="680"/>
    </row>
    <row r="78" spans="1:5">
      <c r="A78" s="685" t="s">
        <v>527</v>
      </c>
      <c r="B78" s="686"/>
      <c r="C78" s="686"/>
      <c r="D78" s="686"/>
    </row>
    <row r="79" spans="1:5">
      <c r="A79" s="684" t="s">
        <v>473</v>
      </c>
      <c r="B79" s="684"/>
      <c r="C79" s="684"/>
      <c r="D79" s="242"/>
    </row>
    <row r="80" spans="1:5" ht="33" customHeight="1">
      <c r="A80" s="682" t="s">
        <v>528</v>
      </c>
      <c r="B80" s="682"/>
      <c r="C80" s="682"/>
      <c r="D80" s="239">
        <v>3</v>
      </c>
      <c r="E80" s="680"/>
    </row>
    <row r="81" spans="1:5" ht="33" customHeight="1">
      <c r="A81" s="682" t="s">
        <v>529</v>
      </c>
      <c r="B81" s="682"/>
      <c r="C81" s="682"/>
      <c r="D81" s="239">
        <v>2</v>
      </c>
      <c r="E81" s="680"/>
    </row>
    <row r="82" spans="1:5">
      <c r="A82" s="681" t="s">
        <v>530</v>
      </c>
      <c r="B82" s="681"/>
      <c r="C82" s="681"/>
      <c r="D82" s="239">
        <v>0</v>
      </c>
      <c r="E82" s="680"/>
    </row>
    <row r="83" spans="1:5" ht="32.25" customHeight="1">
      <c r="A83" s="683" t="s">
        <v>531</v>
      </c>
      <c r="B83" s="683"/>
      <c r="C83" s="683"/>
      <c r="D83" s="683"/>
    </row>
    <row r="84" spans="1:5" ht="31.5" customHeight="1">
      <c r="A84" s="682" t="s">
        <v>532</v>
      </c>
      <c r="B84" s="682"/>
      <c r="C84" s="682"/>
      <c r="D84" s="239">
        <v>3</v>
      </c>
      <c r="E84" s="680"/>
    </row>
    <row r="85" spans="1:5" ht="65.25" customHeight="1">
      <c r="A85" s="682" t="s">
        <v>533</v>
      </c>
      <c r="B85" s="682"/>
      <c r="C85" s="682"/>
      <c r="D85" s="239">
        <v>2</v>
      </c>
      <c r="E85" s="680"/>
    </row>
    <row r="86" spans="1:5" ht="39" customHeight="1">
      <c r="A86" s="681" t="s">
        <v>534</v>
      </c>
      <c r="B86" s="681"/>
      <c r="C86" s="681"/>
      <c r="D86" s="239">
        <v>0</v>
      </c>
      <c r="E86" s="680"/>
    </row>
    <row r="87" spans="1:5">
      <c r="A87" s="194"/>
      <c r="B87" s="194"/>
      <c r="C87" s="194"/>
      <c r="D87" s="194"/>
    </row>
    <row r="88" spans="1:5">
      <c r="A88" s="8" t="s">
        <v>537</v>
      </c>
      <c r="B88" s="8" t="s">
        <v>536</v>
      </c>
      <c r="C88" s="8" t="s">
        <v>535</v>
      </c>
      <c r="D88" s="8" t="s">
        <v>538</v>
      </c>
    </row>
    <row r="89" spans="1:5">
      <c r="A89" s="210" t="s">
        <v>123</v>
      </c>
      <c r="B89" s="243">
        <v>15</v>
      </c>
      <c r="C89" s="258">
        <v>1.5</v>
      </c>
      <c r="D89" s="6">
        <f>C89*B89</f>
        <v>22.5</v>
      </c>
    </row>
    <row r="90" spans="1:5">
      <c r="A90" s="210" t="s">
        <v>11</v>
      </c>
      <c r="B90" s="243">
        <v>9</v>
      </c>
      <c r="C90" s="258">
        <v>1.5</v>
      </c>
      <c r="D90" s="6">
        <f>C90*B90</f>
        <v>13.5</v>
      </c>
    </row>
    <row r="91" spans="1:5">
      <c r="A91" s="210" t="s">
        <v>125</v>
      </c>
      <c r="B91" s="243">
        <v>15</v>
      </c>
      <c r="C91" s="258">
        <v>3</v>
      </c>
      <c r="D91" s="6">
        <f>C91*B91</f>
        <v>45</v>
      </c>
    </row>
    <row r="92" spans="1:5">
      <c r="A92" s="210" t="s">
        <v>139</v>
      </c>
      <c r="B92" s="243">
        <v>6</v>
      </c>
      <c r="C92" s="258">
        <v>2.5</v>
      </c>
      <c r="D92" s="6">
        <f>C92*B92</f>
        <v>15</v>
      </c>
    </row>
    <row r="94" spans="1:5">
      <c r="D94" s="257"/>
    </row>
  </sheetData>
  <mergeCells count="108">
    <mergeCell ref="C13:D13"/>
    <mergeCell ref="A1:D1"/>
    <mergeCell ref="B5:B9"/>
    <mergeCell ref="A5:A9"/>
    <mergeCell ref="B10:B12"/>
    <mergeCell ref="A10:A12"/>
    <mergeCell ref="B13:B17"/>
    <mergeCell ref="A13:A17"/>
    <mergeCell ref="C5:D5"/>
    <mergeCell ref="C6:D6"/>
    <mergeCell ref="C7:D7"/>
    <mergeCell ref="A23:C23"/>
    <mergeCell ref="A24:C24"/>
    <mergeCell ref="A25:C25"/>
    <mergeCell ref="A26:C26"/>
    <mergeCell ref="A27:C27"/>
    <mergeCell ref="A28:C28"/>
    <mergeCell ref="A18:A19"/>
    <mergeCell ref="C18:D18"/>
    <mergeCell ref="B4:D4"/>
    <mergeCell ref="A20:D20"/>
    <mergeCell ref="D21:D22"/>
    <mergeCell ref="A21:C21"/>
    <mergeCell ref="A22:C22"/>
    <mergeCell ref="C14:D14"/>
    <mergeCell ref="C15:D15"/>
    <mergeCell ref="C16:D16"/>
    <mergeCell ref="C17:D17"/>
    <mergeCell ref="C19:D19"/>
    <mergeCell ref="B18:B19"/>
    <mergeCell ref="C8:D8"/>
    <mergeCell ref="C9:D9"/>
    <mergeCell ref="C10:D10"/>
    <mergeCell ref="C11:D11"/>
    <mergeCell ref="C12:D12"/>
    <mergeCell ref="A35:C35"/>
    <mergeCell ref="A36:C36"/>
    <mergeCell ref="A37:C37"/>
    <mergeCell ref="A38:C38"/>
    <mergeCell ref="A39:C39"/>
    <mergeCell ref="A29:C29"/>
    <mergeCell ref="A30:C30"/>
    <mergeCell ref="A31:C31"/>
    <mergeCell ref="A32:C32"/>
    <mergeCell ref="A33:C33"/>
    <mergeCell ref="A34:C34"/>
    <mergeCell ref="A52:C52"/>
    <mergeCell ref="A53:C53"/>
    <mergeCell ref="A54:D54"/>
    <mergeCell ref="A55:C55"/>
    <mergeCell ref="A56:C56"/>
    <mergeCell ref="A57:C57"/>
    <mergeCell ref="A47:C47"/>
    <mergeCell ref="A48:C48"/>
    <mergeCell ref="A40:D40"/>
    <mergeCell ref="A49:C49"/>
    <mergeCell ref="A50:C50"/>
    <mergeCell ref="A51:C51"/>
    <mergeCell ref="A41:C41"/>
    <mergeCell ref="A42:C42"/>
    <mergeCell ref="A43:C43"/>
    <mergeCell ref="A44:C44"/>
    <mergeCell ref="A45:C45"/>
    <mergeCell ref="A46:C46"/>
    <mergeCell ref="A86:C86"/>
    <mergeCell ref="A73:D73"/>
    <mergeCell ref="A83:D83"/>
    <mergeCell ref="A76:C76"/>
    <mergeCell ref="A77:C77"/>
    <mergeCell ref="A78:D78"/>
    <mergeCell ref="A79:C79"/>
    <mergeCell ref="A80:C80"/>
    <mergeCell ref="A81:C81"/>
    <mergeCell ref="A74:C74"/>
    <mergeCell ref="A75:C75"/>
    <mergeCell ref="E24:E25"/>
    <mergeCell ref="E27:E29"/>
    <mergeCell ref="E31:E32"/>
    <mergeCell ref="E34:E35"/>
    <mergeCell ref="E37:E39"/>
    <mergeCell ref="E42:E45"/>
    <mergeCell ref="A82:C82"/>
    <mergeCell ref="A84:C84"/>
    <mergeCell ref="A85:C85"/>
    <mergeCell ref="A70:C70"/>
    <mergeCell ref="A71:C71"/>
    <mergeCell ref="A72:C72"/>
    <mergeCell ref="A64:C64"/>
    <mergeCell ref="A65:C65"/>
    <mergeCell ref="A66:C66"/>
    <mergeCell ref="A67:C67"/>
    <mergeCell ref="A69:C69"/>
    <mergeCell ref="A68:D68"/>
    <mergeCell ref="A58:C58"/>
    <mergeCell ref="A59:C59"/>
    <mergeCell ref="A60:C60"/>
    <mergeCell ref="A61:C61"/>
    <mergeCell ref="A62:C62"/>
    <mergeCell ref="A63:C63"/>
    <mergeCell ref="E80:E82"/>
    <mergeCell ref="E84:E86"/>
    <mergeCell ref="E51:E53"/>
    <mergeCell ref="E47:E49"/>
    <mergeCell ref="E56:E58"/>
    <mergeCell ref="E60:E62"/>
    <mergeCell ref="E64:E67"/>
    <mergeCell ref="E69:E72"/>
    <mergeCell ref="E74:E77"/>
  </mergeCells>
  <pageMargins left="0.511811024" right="0.511811024" top="0.78740157499999996" bottom="0.78740157499999996" header="0.31496062000000002" footer="0.31496062000000002"/>
  <pageSetup paperSize="9" orientation="portrait" r:id="rId1"/>
  <rowBreaks count="2" manualBreakCount="2">
    <brk id="39" max="3" man="1"/>
    <brk id="53"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5"/>
  <dimension ref="A1:G77"/>
  <sheetViews>
    <sheetView workbookViewId="0">
      <selection activeCell="F5" sqref="F5"/>
    </sheetView>
  </sheetViews>
  <sheetFormatPr defaultRowHeight="15"/>
  <cols>
    <col min="1" max="1" width="14.7109375" style="245" customWidth="1"/>
    <col min="2" max="2" width="12.28515625" style="248" bestFit="1" customWidth="1"/>
    <col min="3" max="3" width="12.28515625" style="245" customWidth="1"/>
    <col min="4" max="4" width="3.42578125" customWidth="1"/>
    <col min="5" max="5" width="13.28515625" customWidth="1"/>
    <col min="6" max="6" width="12.5703125" customWidth="1"/>
    <col min="7" max="7" width="14.42578125" customWidth="1"/>
  </cols>
  <sheetData>
    <row r="1" spans="1:7">
      <c r="A1" s="701" t="s">
        <v>542</v>
      </c>
      <c r="B1" s="701"/>
      <c r="C1" s="701"/>
      <c r="D1" s="701"/>
      <c r="E1" s="701"/>
      <c r="F1" s="701"/>
      <c r="G1" s="701"/>
    </row>
    <row r="2" spans="1:7" ht="30">
      <c r="A2" s="252" t="s">
        <v>541</v>
      </c>
      <c r="B2" s="253" t="s">
        <v>539</v>
      </c>
      <c r="C2" s="252" t="s">
        <v>540</v>
      </c>
      <c r="D2" s="254"/>
      <c r="E2" s="252" t="s">
        <v>541</v>
      </c>
      <c r="F2" s="253" t="s">
        <v>539</v>
      </c>
      <c r="G2" s="252" t="s">
        <v>540</v>
      </c>
    </row>
    <row r="3" spans="1:7">
      <c r="A3" s="249" t="s">
        <v>543</v>
      </c>
      <c r="B3" s="277">
        <v>100</v>
      </c>
      <c r="C3" s="250">
        <v>1</v>
      </c>
      <c r="D3" s="254"/>
      <c r="E3" s="251">
        <f>A39-0.5</f>
        <v>58</v>
      </c>
      <c r="F3" s="277">
        <f>((100*E3)-4050)/36</f>
        <v>48.611111111111114</v>
      </c>
      <c r="G3" s="250">
        <f>F3/100</f>
        <v>0.48611111111111116</v>
      </c>
    </row>
    <row r="4" spans="1:7">
      <c r="A4" s="251">
        <v>76</v>
      </c>
      <c r="B4" s="277">
        <f>((100*A4)-4050)/36</f>
        <v>98.611111111111114</v>
      </c>
      <c r="C4" s="250">
        <f>B4/100</f>
        <v>0.98611111111111116</v>
      </c>
      <c r="D4" s="254"/>
      <c r="E4" s="251">
        <f>E3-0.5</f>
        <v>57.5</v>
      </c>
      <c r="F4" s="277">
        <f t="shared" ref="F4:F38" si="0">((100*E4)-4050)/36</f>
        <v>47.222222222222221</v>
      </c>
      <c r="G4" s="250">
        <f t="shared" ref="G4:G38" si="1">F4/100</f>
        <v>0.47222222222222221</v>
      </c>
    </row>
    <row r="5" spans="1:7">
      <c r="A5" s="251">
        <f>A4-0.5</f>
        <v>75.5</v>
      </c>
      <c r="B5" s="277">
        <f t="shared" ref="B5:B39" si="2">((100*A5)-4050)/36</f>
        <v>97.222222222222229</v>
      </c>
      <c r="C5" s="250">
        <f t="shared" ref="C5:C39" si="3">B5/100</f>
        <v>0.97222222222222232</v>
      </c>
      <c r="D5" s="254"/>
      <c r="E5" s="251">
        <f t="shared" ref="E5:E38" si="4">E4-0.5</f>
        <v>57</v>
      </c>
      <c r="F5" s="277">
        <f t="shared" si="0"/>
        <v>45.833333333333336</v>
      </c>
      <c r="G5" s="250">
        <f t="shared" si="1"/>
        <v>0.45833333333333337</v>
      </c>
    </row>
    <row r="6" spans="1:7">
      <c r="A6" s="251">
        <f t="shared" ref="A6:A39" si="5">A5-0.5</f>
        <v>75</v>
      </c>
      <c r="B6" s="277">
        <f t="shared" si="2"/>
        <v>95.833333333333329</v>
      </c>
      <c r="C6" s="250">
        <f t="shared" si="3"/>
        <v>0.95833333333333326</v>
      </c>
      <c r="D6" s="254"/>
      <c r="E6" s="251">
        <f t="shared" si="4"/>
        <v>56.5</v>
      </c>
      <c r="F6" s="277">
        <f t="shared" si="0"/>
        <v>44.444444444444443</v>
      </c>
      <c r="G6" s="250">
        <f t="shared" si="1"/>
        <v>0.44444444444444442</v>
      </c>
    </row>
    <row r="7" spans="1:7">
      <c r="A7" s="251">
        <f t="shared" si="5"/>
        <v>74.5</v>
      </c>
      <c r="B7" s="277">
        <f t="shared" si="2"/>
        <v>94.444444444444443</v>
      </c>
      <c r="C7" s="250">
        <f t="shared" si="3"/>
        <v>0.94444444444444442</v>
      </c>
      <c r="D7" s="254"/>
      <c r="E7" s="251">
        <f t="shared" si="4"/>
        <v>56</v>
      </c>
      <c r="F7" s="277">
        <f t="shared" si="0"/>
        <v>43.055555555555557</v>
      </c>
      <c r="G7" s="250">
        <f t="shared" si="1"/>
        <v>0.43055555555555558</v>
      </c>
    </row>
    <row r="8" spans="1:7">
      <c r="A8" s="251">
        <f t="shared" si="5"/>
        <v>74</v>
      </c>
      <c r="B8" s="277">
        <f t="shared" si="2"/>
        <v>93.055555555555557</v>
      </c>
      <c r="C8" s="250">
        <f t="shared" si="3"/>
        <v>0.93055555555555558</v>
      </c>
      <c r="D8" s="254"/>
      <c r="E8" s="251">
        <f t="shared" si="4"/>
        <v>55.5</v>
      </c>
      <c r="F8" s="277">
        <f t="shared" si="0"/>
        <v>41.666666666666664</v>
      </c>
      <c r="G8" s="250">
        <f t="shared" si="1"/>
        <v>0.41666666666666663</v>
      </c>
    </row>
    <row r="9" spans="1:7">
      <c r="A9" s="251">
        <f>A8-0.5</f>
        <v>73.5</v>
      </c>
      <c r="B9" s="277">
        <f t="shared" si="2"/>
        <v>91.666666666666671</v>
      </c>
      <c r="C9" s="250">
        <f t="shared" si="3"/>
        <v>0.91666666666666674</v>
      </c>
      <c r="D9" s="254"/>
      <c r="E9" s="251">
        <f t="shared" si="4"/>
        <v>55</v>
      </c>
      <c r="F9" s="277">
        <f t="shared" si="0"/>
        <v>40.277777777777779</v>
      </c>
      <c r="G9" s="250">
        <f t="shared" si="1"/>
        <v>0.40277777777777779</v>
      </c>
    </row>
    <row r="10" spans="1:7">
      <c r="A10" s="251">
        <f>A9-0.5</f>
        <v>73</v>
      </c>
      <c r="B10" s="277">
        <f t="shared" si="2"/>
        <v>90.277777777777771</v>
      </c>
      <c r="C10" s="250">
        <f t="shared" si="3"/>
        <v>0.90277777777777768</v>
      </c>
      <c r="D10" s="254"/>
      <c r="E10" s="251">
        <f t="shared" si="4"/>
        <v>54.5</v>
      </c>
      <c r="F10" s="277">
        <f t="shared" si="0"/>
        <v>38.888888888888886</v>
      </c>
      <c r="G10" s="250">
        <f t="shared" si="1"/>
        <v>0.38888888888888884</v>
      </c>
    </row>
    <row r="11" spans="1:7">
      <c r="A11" s="251">
        <f>A10-0.5</f>
        <v>72.5</v>
      </c>
      <c r="B11" s="277">
        <f t="shared" si="2"/>
        <v>88.888888888888886</v>
      </c>
      <c r="C11" s="250">
        <f t="shared" si="3"/>
        <v>0.88888888888888884</v>
      </c>
      <c r="D11" s="254"/>
      <c r="E11" s="251">
        <f t="shared" si="4"/>
        <v>54</v>
      </c>
      <c r="F11" s="277">
        <f t="shared" si="0"/>
        <v>37.5</v>
      </c>
      <c r="G11" s="250">
        <f t="shared" si="1"/>
        <v>0.375</v>
      </c>
    </row>
    <row r="12" spans="1:7">
      <c r="A12" s="251">
        <f>A11-0.5</f>
        <v>72</v>
      </c>
      <c r="B12" s="277">
        <f t="shared" si="2"/>
        <v>87.5</v>
      </c>
      <c r="C12" s="250">
        <f t="shared" si="3"/>
        <v>0.875</v>
      </c>
      <c r="D12" s="254"/>
      <c r="E12" s="251">
        <f t="shared" si="4"/>
        <v>53.5</v>
      </c>
      <c r="F12" s="277">
        <f t="shared" si="0"/>
        <v>36.111111111111114</v>
      </c>
      <c r="G12" s="250">
        <f t="shared" si="1"/>
        <v>0.36111111111111116</v>
      </c>
    </row>
    <row r="13" spans="1:7">
      <c r="A13" s="251">
        <f t="shared" si="5"/>
        <v>71.5</v>
      </c>
      <c r="B13" s="277">
        <f t="shared" si="2"/>
        <v>86.111111111111114</v>
      </c>
      <c r="C13" s="250">
        <f t="shared" si="3"/>
        <v>0.86111111111111116</v>
      </c>
      <c r="D13" s="254"/>
      <c r="E13" s="251">
        <f t="shared" si="4"/>
        <v>53</v>
      </c>
      <c r="F13" s="277">
        <f t="shared" si="0"/>
        <v>34.722222222222221</v>
      </c>
      <c r="G13" s="250">
        <f t="shared" si="1"/>
        <v>0.34722222222222221</v>
      </c>
    </row>
    <row r="14" spans="1:7">
      <c r="A14" s="251">
        <f t="shared" si="5"/>
        <v>71</v>
      </c>
      <c r="B14" s="277">
        <f t="shared" si="2"/>
        <v>84.722222222222229</v>
      </c>
      <c r="C14" s="250">
        <f t="shared" si="3"/>
        <v>0.84722222222222232</v>
      </c>
      <c r="D14" s="254"/>
      <c r="E14" s="251">
        <f t="shared" si="4"/>
        <v>52.5</v>
      </c>
      <c r="F14" s="277">
        <f t="shared" si="0"/>
        <v>33.333333333333336</v>
      </c>
      <c r="G14" s="250">
        <f t="shared" si="1"/>
        <v>0.33333333333333337</v>
      </c>
    </row>
    <row r="15" spans="1:7">
      <c r="A15" s="251">
        <f t="shared" si="5"/>
        <v>70.5</v>
      </c>
      <c r="B15" s="277">
        <f t="shared" si="2"/>
        <v>83.333333333333329</v>
      </c>
      <c r="C15" s="250">
        <f t="shared" si="3"/>
        <v>0.83333333333333326</v>
      </c>
      <c r="D15" s="254"/>
      <c r="E15" s="251">
        <f t="shared" si="4"/>
        <v>52</v>
      </c>
      <c r="F15" s="277">
        <f t="shared" si="0"/>
        <v>31.944444444444443</v>
      </c>
      <c r="G15" s="250">
        <f t="shared" si="1"/>
        <v>0.31944444444444442</v>
      </c>
    </row>
    <row r="16" spans="1:7">
      <c r="A16" s="251">
        <f t="shared" si="5"/>
        <v>70</v>
      </c>
      <c r="B16" s="277">
        <f t="shared" si="2"/>
        <v>81.944444444444443</v>
      </c>
      <c r="C16" s="250">
        <f t="shared" si="3"/>
        <v>0.81944444444444442</v>
      </c>
      <c r="D16" s="254"/>
      <c r="E16" s="251">
        <f t="shared" si="4"/>
        <v>51.5</v>
      </c>
      <c r="F16" s="277">
        <f t="shared" si="0"/>
        <v>30.555555555555557</v>
      </c>
      <c r="G16" s="250">
        <f t="shared" si="1"/>
        <v>0.30555555555555558</v>
      </c>
    </row>
    <row r="17" spans="1:7">
      <c r="A17" s="251">
        <f t="shared" si="5"/>
        <v>69.5</v>
      </c>
      <c r="B17" s="277">
        <f t="shared" si="2"/>
        <v>80.555555555555557</v>
      </c>
      <c r="C17" s="250">
        <f t="shared" si="3"/>
        <v>0.80555555555555558</v>
      </c>
      <c r="D17" s="254"/>
      <c r="E17" s="251">
        <f t="shared" si="4"/>
        <v>51</v>
      </c>
      <c r="F17" s="277">
        <f t="shared" si="0"/>
        <v>29.166666666666668</v>
      </c>
      <c r="G17" s="250">
        <f t="shared" si="1"/>
        <v>0.29166666666666669</v>
      </c>
    </row>
    <row r="18" spans="1:7">
      <c r="A18" s="251">
        <f t="shared" si="5"/>
        <v>69</v>
      </c>
      <c r="B18" s="277">
        <f t="shared" si="2"/>
        <v>79.166666666666671</v>
      </c>
      <c r="C18" s="250">
        <f t="shared" si="3"/>
        <v>0.79166666666666674</v>
      </c>
      <c r="D18" s="254"/>
      <c r="E18" s="251">
        <f t="shared" si="4"/>
        <v>50.5</v>
      </c>
      <c r="F18" s="277">
        <f t="shared" si="0"/>
        <v>27.777777777777779</v>
      </c>
      <c r="G18" s="250">
        <f t="shared" si="1"/>
        <v>0.27777777777777779</v>
      </c>
    </row>
    <row r="19" spans="1:7">
      <c r="A19" s="251">
        <f t="shared" si="5"/>
        <v>68.5</v>
      </c>
      <c r="B19" s="277">
        <f t="shared" si="2"/>
        <v>77.777777777777771</v>
      </c>
      <c r="C19" s="250">
        <f t="shared" si="3"/>
        <v>0.77777777777777768</v>
      </c>
      <c r="D19" s="254"/>
      <c r="E19" s="251">
        <f t="shared" si="4"/>
        <v>50</v>
      </c>
      <c r="F19" s="277">
        <f t="shared" si="0"/>
        <v>26.388888888888889</v>
      </c>
      <c r="G19" s="250">
        <f t="shared" si="1"/>
        <v>0.2638888888888889</v>
      </c>
    </row>
    <row r="20" spans="1:7">
      <c r="A20" s="251">
        <f t="shared" si="5"/>
        <v>68</v>
      </c>
      <c r="B20" s="277">
        <f t="shared" si="2"/>
        <v>76.388888888888886</v>
      </c>
      <c r="C20" s="250">
        <f t="shared" si="3"/>
        <v>0.76388888888888884</v>
      </c>
      <c r="D20" s="254"/>
      <c r="E20" s="251">
        <f t="shared" si="4"/>
        <v>49.5</v>
      </c>
      <c r="F20" s="277">
        <f t="shared" si="0"/>
        <v>25</v>
      </c>
      <c r="G20" s="250">
        <f t="shared" si="1"/>
        <v>0.25</v>
      </c>
    </row>
    <row r="21" spans="1:7">
      <c r="A21" s="251">
        <f t="shared" si="5"/>
        <v>67.5</v>
      </c>
      <c r="B21" s="277">
        <f t="shared" si="2"/>
        <v>75</v>
      </c>
      <c r="C21" s="250">
        <f t="shared" si="3"/>
        <v>0.75</v>
      </c>
      <c r="D21" s="254"/>
      <c r="E21" s="251">
        <f t="shared" si="4"/>
        <v>49</v>
      </c>
      <c r="F21" s="277">
        <f t="shared" si="0"/>
        <v>23.611111111111111</v>
      </c>
      <c r="G21" s="250">
        <f t="shared" si="1"/>
        <v>0.2361111111111111</v>
      </c>
    </row>
    <row r="22" spans="1:7">
      <c r="A22" s="251">
        <f t="shared" si="5"/>
        <v>67</v>
      </c>
      <c r="B22" s="277">
        <f t="shared" si="2"/>
        <v>73.611111111111114</v>
      </c>
      <c r="C22" s="250">
        <f t="shared" si="3"/>
        <v>0.73611111111111116</v>
      </c>
      <c r="D22" s="254"/>
      <c r="E22" s="251">
        <f t="shared" si="4"/>
        <v>48.5</v>
      </c>
      <c r="F22" s="277">
        <f t="shared" si="0"/>
        <v>22.222222222222221</v>
      </c>
      <c r="G22" s="250">
        <f t="shared" si="1"/>
        <v>0.22222222222222221</v>
      </c>
    </row>
    <row r="23" spans="1:7">
      <c r="A23" s="251">
        <f t="shared" si="5"/>
        <v>66.5</v>
      </c>
      <c r="B23" s="277">
        <f t="shared" si="2"/>
        <v>72.222222222222229</v>
      </c>
      <c r="C23" s="250">
        <f t="shared" si="3"/>
        <v>0.72222222222222232</v>
      </c>
      <c r="D23" s="254"/>
      <c r="E23" s="251">
        <f t="shared" si="4"/>
        <v>48</v>
      </c>
      <c r="F23" s="277">
        <f t="shared" si="0"/>
        <v>20.833333333333332</v>
      </c>
      <c r="G23" s="250">
        <f t="shared" si="1"/>
        <v>0.20833333333333331</v>
      </c>
    </row>
    <row r="24" spans="1:7">
      <c r="A24" s="251">
        <f t="shared" si="5"/>
        <v>66</v>
      </c>
      <c r="B24" s="277">
        <f t="shared" si="2"/>
        <v>70.833333333333329</v>
      </c>
      <c r="C24" s="250">
        <f t="shared" si="3"/>
        <v>0.70833333333333326</v>
      </c>
      <c r="D24" s="254"/>
      <c r="E24" s="251">
        <f t="shared" si="4"/>
        <v>47.5</v>
      </c>
      <c r="F24" s="277">
        <f t="shared" si="0"/>
        <v>19.444444444444443</v>
      </c>
      <c r="G24" s="250">
        <f t="shared" si="1"/>
        <v>0.19444444444444442</v>
      </c>
    </row>
    <row r="25" spans="1:7">
      <c r="A25" s="251">
        <f t="shared" si="5"/>
        <v>65.5</v>
      </c>
      <c r="B25" s="277">
        <f t="shared" si="2"/>
        <v>69.444444444444443</v>
      </c>
      <c r="C25" s="250">
        <f t="shared" si="3"/>
        <v>0.69444444444444442</v>
      </c>
      <c r="D25" s="254"/>
      <c r="E25" s="251">
        <f t="shared" si="4"/>
        <v>47</v>
      </c>
      <c r="F25" s="277">
        <f t="shared" si="0"/>
        <v>18.055555555555557</v>
      </c>
      <c r="G25" s="250">
        <f t="shared" si="1"/>
        <v>0.18055555555555558</v>
      </c>
    </row>
    <row r="26" spans="1:7">
      <c r="A26" s="251">
        <f t="shared" si="5"/>
        <v>65</v>
      </c>
      <c r="B26" s="277">
        <f t="shared" si="2"/>
        <v>68.055555555555557</v>
      </c>
      <c r="C26" s="250">
        <f t="shared" si="3"/>
        <v>0.68055555555555558</v>
      </c>
      <c r="D26" s="254"/>
      <c r="E26" s="251">
        <f t="shared" si="4"/>
        <v>46.5</v>
      </c>
      <c r="F26" s="277">
        <f t="shared" si="0"/>
        <v>16.666666666666668</v>
      </c>
      <c r="G26" s="250">
        <f t="shared" si="1"/>
        <v>0.16666666666666669</v>
      </c>
    </row>
    <row r="27" spans="1:7">
      <c r="A27" s="251">
        <f t="shared" si="5"/>
        <v>64.5</v>
      </c>
      <c r="B27" s="277">
        <f t="shared" si="2"/>
        <v>66.666666666666671</v>
      </c>
      <c r="C27" s="250">
        <f t="shared" si="3"/>
        <v>0.66666666666666674</v>
      </c>
      <c r="D27" s="254"/>
      <c r="E27" s="251">
        <f t="shared" si="4"/>
        <v>46</v>
      </c>
      <c r="F27" s="277">
        <f t="shared" si="0"/>
        <v>15.277777777777779</v>
      </c>
      <c r="G27" s="250">
        <f t="shared" si="1"/>
        <v>0.15277777777777779</v>
      </c>
    </row>
    <row r="28" spans="1:7">
      <c r="A28" s="251">
        <f t="shared" si="5"/>
        <v>64</v>
      </c>
      <c r="B28" s="277">
        <f t="shared" si="2"/>
        <v>65.277777777777771</v>
      </c>
      <c r="C28" s="250">
        <f t="shared" si="3"/>
        <v>0.65277777777777768</v>
      </c>
      <c r="D28" s="254"/>
      <c r="E28" s="251">
        <f t="shared" si="4"/>
        <v>45.5</v>
      </c>
      <c r="F28" s="277">
        <f t="shared" si="0"/>
        <v>13.888888888888889</v>
      </c>
      <c r="G28" s="250">
        <f t="shared" si="1"/>
        <v>0.1388888888888889</v>
      </c>
    </row>
    <row r="29" spans="1:7">
      <c r="A29" s="251">
        <f t="shared" si="5"/>
        <v>63.5</v>
      </c>
      <c r="B29" s="277">
        <f t="shared" si="2"/>
        <v>63.888888888888886</v>
      </c>
      <c r="C29" s="250">
        <f t="shared" si="3"/>
        <v>0.63888888888888884</v>
      </c>
      <c r="D29" s="254"/>
      <c r="E29" s="251">
        <f t="shared" si="4"/>
        <v>45</v>
      </c>
      <c r="F29" s="277">
        <f t="shared" si="0"/>
        <v>12.5</v>
      </c>
      <c r="G29" s="250">
        <f t="shared" si="1"/>
        <v>0.125</v>
      </c>
    </row>
    <row r="30" spans="1:7">
      <c r="A30" s="251">
        <f t="shared" si="5"/>
        <v>63</v>
      </c>
      <c r="B30" s="277">
        <f t="shared" si="2"/>
        <v>62.5</v>
      </c>
      <c r="C30" s="250">
        <f t="shared" si="3"/>
        <v>0.625</v>
      </c>
      <c r="D30" s="254"/>
      <c r="E30" s="251">
        <f t="shared" si="4"/>
        <v>44.5</v>
      </c>
      <c r="F30" s="277">
        <f t="shared" si="0"/>
        <v>11.111111111111111</v>
      </c>
      <c r="G30" s="250">
        <f t="shared" si="1"/>
        <v>0.1111111111111111</v>
      </c>
    </row>
    <row r="31" spans="1:7">
      <c r="A31" s="251">
        <f t="shared" si="5"/>
        <v>62.5</v>
      </c>
      <c r="B31" s="277">
        <f t="shared" si="2"/>
        <v>61.111111111111114</v>
      </c>
      <c r="C31" s="250">
        <f t="shared" si="3"/>
        <v>0.61111111111111116</v>
      </c>
      <c r="D31" s="254"/>
      <c r="E31" s="251">
        <f t="shared" si="4"/>
        <v>44</v>
      </c>
      <c r="F31" s="277">
        <f t="shared" si="0"/>
        <v>9.7222222222222214</v>
      </c>
      <c r="G31" s="250">
        <f t="shared" si="1"/>
        <v>9.722222222222221E-2</v>
      </c>
    </row>
    <row r="32" spans="1:7">
      <c r="A32" s="251">
        <f t="shared" si="5"/>
        <v>62</v>
      </c>
      <c r="B32" s="277">
        <f t="shared" si="2"/>
        <v>59.722222222222221</v>
      </c>
      <c r="C32" s="250">
        <f t="shared" si="3"/>
        <v>0.59722222222222221</v>
      </c>
      <c r="D32" s="254"/>
      <c r="E32" s="251">
        <f t="shared" si="4"/>
        <v>43.5</v>
      </c>
      <c r="F32" s="277">
        <f t="shared" si="0"/>
        <v>8.3333333333333339</v>
      </c>
      <c r="G32" s="250">
        <f t="shared" si="1"/>
        <v>8.3333333333333343E-2</v>
      </c>
    </row>
    <row r="33" spans="1:7">
      <c r="A33" s="251">
        <f t="shared" si="5"/>
        <v>61.5</v>
      </c>
      <c r="B33" s="277">
        <f t="shared" si="2"/>
        <v>58.333333333333336</v>
      </c>
      <c r="C33" s="250">
        <f t="shared" si="3"/>
        <v>0.58333333333333337</v>
      </c>
      <c r="D33" s="254"/>
      <c r="E33" s="251">
        <f t="shared" si="4"/>
        <v>43</v>
      </c>
      <c r="F33" s="277">
        <f t="shared" si="0"/>
        <v>6.9444444444444446</v>
      </c>
      <c r="G33" s="250">
        <f t="shared" si="1"/>
        <v>6.9444444444444448E-2</v>
      </c>
    </row>
    <row r="34" spans="1:7">
      <c r="A34" s="251">
        <f t="shared" si="5"/>
        <v>61</v>
      </c>
      <c r="B34" s="277">
        <f t="shared" si="2"/>
        <v>56.944444444444443</v>
      </c>
      <c r="C34" s="250">
        <f t="shared" si="3"/>
        <v>0.56944444444444442</v>
      </c>
      <c r="D34" s="254"/>
      <c r="E34" s="251">
        <f t="shared" si="4"/>
        <v>42.5</v>
      </c>
      <c r="F34" s="277">
        <f t="shared" si="0"/>
        <v>5.5555555555555554</v>
      </c>
      <c r="G34" s="250">
        <f t="shared" si="1"/>
        <v>5.5555555555555552E-2</v>
      </c>
    </row>
    <row r="35" spans="1:7">
      <c r="A35" s="251">
        <f t="shared" si="5"/>
        <v>60.5</v>
      </c>
      <c r="B35" s="277">
        <f t="shared" si="2"/>
        <v>55.555555555555557</v>
      </c>
      <c r="C35" s="250">
        <f t="shared" si="3"/>
        <v>0.55555555555555558</v>
      </c>
      <c r="D35" s="254"/>
      <c r="E35" s="251">
        <f t="shared" si="4"/>
        <v>42</v>
      </c>
      <c r="F35" s="277">
        <f t="shared" si="0"/>
        <v>4.166666666666667</v>
      </c>
      <c r="G35" s="250">
        <f t="shared" si="1"/>
        <v>4.1666666666666671E-2</v>
      </c>
    </row>
    <row r="36" spans="1:7">
      <c r="A36" s="251">
        <f t="shared" si="5"/>
        <v>60</v>
      </c>
      <c r="B36" s="277">
        <f t="shared" si="2"/>
        <v>54.166666666666664</v>
      </c>
      <c r="C36" s="250">
        <f t="shared" si="3"/>
        <v>0.54166666666666663</v>
      </c>
      <c r="D36" s="254"/>
      <c r="E36" s="251">
        <f t="shared" si="4"/>
        <v>41.5</v>
      </c>
      <c r="F36" s="277">
        <f t="shared" si="0"/>
        <v>2.7777777777777777</v>
      </c>
      <c r="G36" s="250">
        <f t="shared" si="1"/>
        <v>2.7777777777777776E-2</v>
      </c>
    </row>
    <row r="37" spans="1:7">
      <c r="A37" s="251">
        <f t="shared" si="5"/>
        <v>59.5</v>
      </c>
      <c r="B37" s="277">
        <f t="shared" si="2"/>
        <v>52.777777777777779</v>
      </c>
      <c r="C37" s="250">
        <f t="shared" si="3"/>
        <v>0.52777777777777779</v>
      </c>
      <c r="D37" s="254"/>
      <c r="E37" s="251">
        <f t="shared" si="4"/>
        <v>41</v>
      </c>
      <c r="F37" s="277">
        <f t="shared" si="0"/>
        <v>1.3888888888888888</v>
      </c>
      <c r="G37" s="250">
        <f t="shared" si="1"/>
        <v>1.3888888888888888E-2</v>
      </c>
    </row>
    <row r="38" spans="1:7">
      <c r="A38" s="251">
        <f t="shared" si="5"/>
        <v>59</v>
      </c>
      <c r="B38" s="277">
        <f t="shared" si="2"/>
        <v>51.388888888888886</v>
      </c>
      <c r="C38" s="250">
        <f t="shared" si="3"/>
        <v>0.51388888888888884</v>
      </c>
      <c r="D38" s="254"/>
      <c r="E38" s="251">
        <f t="shared" si="4"/>
        <v>40.5</v>
      </c>
      <c r="F38" s="277">
        <f t="shared" si="0"/>
        <v>0</v>
      </c>
      <c r="G38" s="250">
        <f t="shared" si="1"/>
        <v>0</v>
      </c>
    </row>
    <row r="39" spans="1:7">
      <c r="A39" s="251">
        <f t="shared" si="5"/>
        <v>58.5</v>
      </c>
      <c r="B39" s="277">
        <f t="shared" si="2"/>
        <v>50</v>
      </c>
      <c r="C39" s="250">
        <f t="shared" si="3"/>
        <v>0.5</v>
      </c>
      <c r="D39" s="254"/>
      <c r="E39" s="222"/>
      <c r="F39" s="222"/>
      <c r="G39" s="222"/>
    </row>
    <row r="76" spans="1:3">
      <c r="A76" s="247"/>
      <c r="C76" s="246"/>
    </row>
    <row r="77" spans="1:3">
      <c r="A77" s="247"/>
      <c r="C77" s="246"/>
    </row>
  </sheetData>
  <mergeCells count="1">
    <mergeCell ref="A1:G1"/>
  </mergeCells>
  <pageMargins left="0.511811024" right="0.511811024" top="0.78740157499999996" bottom="0.78740157499999996" header="0.31496062000000002" footer="0.31496062000000002"/>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dimension ref="A1:AP59"/>
  <sheetViews>
    <sheetView workbookViewId="0">
      <selection sqref="A1:D1"/>
    </sheetView>
  </sheetViews>
  <sheetFormatPr defaultColWidth="25.42578125" defaultRowHeight="15"/>
  <cols>
    <col min="1" max="3" width="19.7109375" customWidth="1"/>
    <col min="4" max="4" width="22.28515625" customWidth="1"/>
    <col min="5" max="5" width="6" style="270" bestFit="1" customWidth="1"/>
    <col min="6" max="6" width="3.5703125" style="271" bestFit="1" customWidth="1"/>
    <col min="7" max="8" width="3.5703125" style="266" bestFit="1" customWidth="1"/>
    <col min="9" max="10" width="4.85546875" style="261" bestFit="1" customWidth="1"/>
    <col min="11" max="11" width="4.85546875" style="261" customWidth="1"/>
    <col min="12" max="14" width="4.85546875" style="261" bestFit="1" customWidth="1"/>
    <col min="15" max="15" width="3.7109375" style="261" customWidth="1"/>
    <col min="16" max="19" width="3.7109375" style="261" bestFit="1" customWidth="1"/>
    <col min="20" max="24" width="3.7109375" bestFit="1" customWidth="1"/>
    <col min="25" max="26" width="8.42578125" customWidth="1"/>
    <col min="27" max="27" width="5.5703125" bestFit="1" customWidth="1"/>
    <col min="28" max="29" width="5.7109375" bestFit="1" customWidth="1"/>
    <col min="30" max="30" width="5.5703125" bestFit="1" customWidth="1"/>
    <col min="31" max="31" width="5.7109375" bestFit="1" customWidth="1"/>
    <col min="32" max="38" width="5.5703125" bestFit="1" customWidth="1"/>
    <col min="39" max="40" width="5" bestFit="1" customWidth="1"/>
    <col min="41" max="41" width="4.5703125" bestFit="1" customWidth="1"/>
    <col min="42" max="42" width="5" bestFit="1" customWidth="1"/>
  </cols>
  <sheetData>
    <row r="1" spans="1:25" s="211" customFormat="1">
      <c r="A1" s="699" t="s">
        <v>451</v>
      </c>
      <c r="B1" s="699"/>
      <c r="C1" s="699"/>
      <c r="D1" s="699"/>
      <c r="E1" s="270"/>
      <c r="F1" s="270"/>
      <c r="G1" s="243"/>
      <c r="H1" s="243"/>
      <c r="I1" s="260"/>
      <c r="J1" s="260"/>
      <c r="K1" s="260"/>
      <c r="L1" s="260"/>
      <c r="M1" s="260"/>
      <c r="N1" s="260"/>
      <c r="O1" s="260"/>
      <c r="P1" s="260"/>
      <c r="Q1" s="260"/>
      <c r="R1" s="260"/>
      <c r="S1" s="260"/>
    </row>
    <row r="2" spans="1:25" s="211" customFormat="1">
      <c r="A2" s="237" t="s">
        <v>452</v>
      </c>
      <c r="B2" s="237" t="s">
        <v>453</v>
      </c>
      <c r="C2" s="237" t="s">
        <v>454</v>
      </c>
      <c r="D2" s="237" t="s">
        <v>476</v>
      </c>
      <c r="E2" s="270"/>
      <c r="F2" s="270"/>
      <c r="G2" s="243"/>
      <c r="H2" s="243"/>
      <c r="I2" s="260"/>
      <c r="J2" s="260"/>
      <c r="K2" s="260"/>
      <c r="L2" s="260"/>
      <c r="M2" s="260"/>
      <c r="N2" s="260"/>
      <c r="O2" s="260"/>
      <c r="P2" s="260"/>
      <c r="Q2" s="260"/>
      <c r="R2" s="260"/>
      <c r="S2" s="260"/>
    </row>
    <row r="3" spans="1:25" s="211" customFormat="1">
      <c r="A3" s="244">
        <v>3</v>
      </c>
      <c r="B3" s="244">
        <v>2</v>
      </c>
      <c r="C3" s="244">
        <v>1</v>
      </c>
      <c r="D3" s="244">
        <v>0</v>
      </c>
      <c r="E3" s="270"/>
      <c r="F3" s="270"/>
      <c r="G3" s="243"/>
      <c r="H3" s="243"/>
      <c r="I3" s="260"/>
      <c r="J3" s="260"/>
      <c r="K3" s="260"/>
      <c r="L3" s="260"/>
      <c r="M3" s="260"/>
      <c r="N3" s="260"/>
      <c r="O3" s="260"/>
      <c r="P3" s="260"/>
      <c r="Q3" s="260"/>
      <c r="R3" s="260"/>
      <c r="S3" s="260"/>
    </row>
    <row r="4" spans="1:25">
      <c r="A4" s="238" t="s">
        <v>455</v>
      </c>
      <c r="B4" s="692" t="s">
        <v>456</v>
      </c>
      <c r="C4" s="693"/>
      <c r="D4" s="694"/>
    </row>
    <row r="5" spans="1:25">
      <c r="A5" s="689" t="s">
        <v>123</v>
      </c>
      <c r="B5" s="689" t="s">
        <v>462</v>
      </c>
      <c r="C5" s="697" t="s">
        <v>457</v>
      </c>
      <c r="D5" s="697"/>
      <c r="E5" s="272">
        <v>3</v>
      </c>
      <c r="F5" s="273">
        <v>0</v>
      </c>
      <c r="G5" s="274"/>
      <c r="H5" s="274"/>
      <c r="I5" s="261">
        <v>15</v>
      </c>
      <c r="J5" s="262">
        <v>14</v>
      </c>
      <c r="K5" s="262">
        <v>12</v>
      </c>
      <c r="L5" s="262">
        <v>11</v>
      </c>
      <c r="M5" s="261">
        <v>10</v>
      </c>
      <c r="N5" s="261">
        <v>9</v>
      </c>
      <c r="O5" s="262">
        <v>8</v>
      </c>
      <c r="P5" s="262">
        <v>6</v>
      </c>
      <c r="Q5" s="262">
        <v>5</v>
      </c>
      <c r="R5" s="262">
        <v>4</v>
      </c>
      <c r="S5" s="262">
        <v>3</v>
      </c>
      <c r="T5" s="262">
        <v>2</v>
      </c>
      <c r="U5" s="262">
        <v>0</v>
      </c>
      <c r="Y5">
        <f>COMBIN(12,1)</f>
        <v>12</v>
      </c>
    </row>
    <row r="6" spans="1:25">
      <c r="A6" s="689"/>
      <c r="B6" s="689"/>
      <c r="C6" s="697" t="s">
        <v>458</v>
      </c>
      <c r="D6" s="697"/>
      <c r="E6" s="272">
        <v>3</v>
      </c>
      <c r="F6" s="273">
        <v>2</v>
      </c>
      <c r="G6" s="274">
        <v>0</v>
      </c>
      <c r="H6" s="274"/>
    </row>
    <row r="7" spans="1:25">
      <c r="A7" s="689"/>
      <c r="B7" s="689"/>
      <c r="C7" s="697" t="s">
        <v>459</v>
      </c>
      <c r="D7" s="697"/>
      <c r="E7" s="272">
        <v>3</v>
      </c>
      <c r="F7" s="273">
        <v>0</v>
      </c>
      <c r="G7" s="274"/>
      <c r="H7" s="274"/>
    </row>
    <row r="8" spans="1:25">
      <c r="A8" s="689"/>
      <c r="B8" s="689"/>
      <c r="C8" s="697" t="s">
        <v>460</v>
      </c>
      <c r="D8" s="697"/>
      <c r="E8" s="272">
        <v>3</v>
      </c>
      <c r="F8" s="273">
        <v>0</v>
      </c>
      <c r="G8" s="274"/>
      <c r="H8" s="274"/>
    </row>
    <row r="9" spans="1:25">
      <c r="A9" s="689"/>
      <c r="B9" s="689"/>
      <c r="C9" s="697" t="s">
        <v>461</v>
      </c>
      <c r="D9" s="697"/>
      <c r="E9" s="272">
        <v>3</v>
      </c>
      <c r="F9" s="273">
        <v>2</v>
      </c>
      <c r="G9" s="274">
        <v>0</v>
      </c>
      <c r="H9" s="274"/>
    </row>
    <row r="10" spans="1:25">
      <c r="A10" s="689" t="s">
        <v>11</v>
      </c>
      <c r="B10" s="700" t="s">
        <v>466</v>
      </c>
      <c r="C10" s="697" t="s">
        <v>463</v>
      </c>
      <c r="D10" s="697"/>
      <c r="E10" s="263">
        <v>3</v>
      </c>
      <c r="F10" s="264">
        <v>2</v>
      </c>
      <c r="G10" s="265">
        <v>1</v>
      </c>
      <c r="H10" s="265">
        <v>0</v>
      </c>
      <c r="I10" s="261">
        <v>9</v>
      </c>
      <c r="J10" s="261">
        <v>8</v>
      </c>
      <c r="K10" s="261">
        <v>7</v>
      </c>
      <c r="L10" s="261">
        <v>6</v>
      </c>
      <c r="M10" s="261">
        <v>5</v>
      </c>
      <c r="N10" s="261">
        <v>4</v>
      </c>
      <c r="O10" s="261">
        <v>3</v>
      </c>
      <c r="P10" s="261">
        <v>2</v>
      </c>
      <c r="Q10" s="261">
        <v>1</v>
      </c>
      <c r="R10" s="261">
        <v>0</v>
      </c>
    </row>
    <row r="11" spans="1:25">
      <c r="A11" s="689"/>
      <c r="B11" s="700"/>
      <c r="C11" s="697" t="s">
        <v>464</v>
      </c>
      <c r="D11" s="697"/>
      <c r="E11" s="263">
        <v>3</v>
      </c>
      <c r="F11" s="264">
        <v>2</v>
      </c>
      <c r="G11" s="265">
        <v>0</v>
      </c>
      <c r="H11" s="265"/>
    </row>
    <row r="12" spans="1:25">
      <c r="A12" s="689"/>
      <c r="B12" s="700"/>
      <c r="C12" s="697" t="s">
        <v>465</v>
      </c>
      <c r="D12" s="697"/>
      <c r="E12" s="263">
        <v>3</v>
      </c>
      <c r="F12" s="264">
        <v>2</v>
      </c>
      <c r="G12" s="265">
        <v>0</v>
      </c>
      <c r="H12" s="265"/>
    </row>
    <row r="13" spans="1:25">
      <c r="A13" s="689" t="s">
        <v>125</v>
      </c>
      <c r="B13" s="700" t="s">
        <v>472</v>
      </c>
      <c r="C13" s="697" t="s">
        <v>467</v>
      </c>
      <c r="D13" s="697"/>
      <c r="E13" s="272">
        <v>3</v>
      </c>
      <c r="F13" s="273">
        <v>1</v>
      </c>
      <c r="G13" s="274">
        <v>0</v>
      </c>
      <c r="H13" s="274"/>
      <c r="I13" s="261">
        <v>15</v>
      </c>
      <c r="J13" s="261">
        <v>14</v>
      </c>
      <c r="K13" s="261">
        <v>13</v>
      </c>
      <c r="L13" s="261">
        <v>12</v>
      </c>
      <c r="M13" s="261">
        <v>11</v>
      </c>
      <c r="N13" s="261">
        <v>10</v>
      </c>
      <c r="O13" s="261">
        <v>9</v>
      </c>
      <c r="P13" s="261">
        <v>8</v>
      </c>
      <c r="Q13" s="261">
        <v>7</v>
      </c>
      <c r="R13" s="261">
        <v>6</v>
      </c>
      <c r="S13" s="261">
        <v>5</v>
      </c>
      <c r="T13" s="261">
        <v>4</v>
      </c>
      <c r="U13" s="261">
        <v>3</v>
      </c>
      <c r="V13" s="261">
        <v>2</v>
      </c>
      <c r="W13" s="261">
        <v>1</v>
      </c>
      <c r="X13" s="261">
        <v>0</v>
      </c>
    </row>
    <row r="14" spans="1:25">
      <c r="A14" s="689"/>
      <c r="B14" s="700"/>
      <c r="C14" s="697" t="s">
        <v>468</v>
      </c>
      <c r="D14" s="697"/>
      <c r="E14" s="272">
        <v>3</v>
      </c>
      <c r="F14" s="273">
        <v>2</v>
      </c>
      <c r="G14" s="274">
        <v>0</v>
      </c>
      <c r="H14" s="274"/>
    </row>
    <row r="15" spans="1:25">
      <c r="A15" s="689"/>
      <c r="B15" s="700"/>
      <c r="C15" s="697" t="s">
        <v>469</v>
      </c>
      <c r="D15" s="697"/>
      <c r="E15" s="272">
        <v>3</v>
      </c>
      <c r="F15" s="273">
        <v>2</v>
      </c>
      <c r="G15" s="274">
        <v>1</v>
      </c>
      <c r="H15" s="274">
        <v>0</v>
      </c>
    </row>
    <row r="16" spans="1:25">
      <c r="A16" s="689"/>
      <c r="B16" s="700"/>
      <c r="C16" s="697" t="s">
        <v>470</v>
      </c>
      <c r="D16" s="697"/>
      <c r="E16" s="272">
        <v>3</v>
      </c>
      <c r="F16" s="273">
        <v>2</v>
      </c>
      <c r="G16" s="274">
        <v>1</v>
      </c>
      <c r="H16" s="274">
        <v>0</v>
      </c>
    </row>
    <row r="17" spans="1:14">
      <c r="A17" s="689"/>
      <c r="B17" s="700"/>
      <c r="C17" s="690" t="s">
        <v>471</v>
      </c>
      <c r="D17" s="691"/>
      <c r="E17" s="272">
        <v>3</v>
      </c>
      <c r="F17" s="273">
        <v>2</v>
      </c>
      <c r="G17" s="274">
        <v>1</v>
      </c>
      <c r="H17" s="274">
        <v>0</v>
      </c>
    </row>
    <row r="18" spans="1:14">
      <c r="A18" s="689" t="s">
        <v>139</v>
      </c>
      <c r="B18" s="689" t="s">
        <v>475</v>
      </c>
      <c r="C18" s="690" t="s">
        <v>473</v>
      </c>
      <c r="D18" s="691"/>
      <c r="E18" s="263">
        <v>3</v>
      </c>
      <c r="F18" s="264">
        <v>2</v>
      </c>
      <c r="G18" s="265">
        <v>0</v>
      </c>
      <c r="I18" s="261">
        <v>6</v>
      </c>
      <c r="J18" s="261">
        <v>5</v>
      </c>
      <c r="K18" s="261">
        <v>4</v>
      </c>
      <c r="L18" s="261">
        <v>3</v>
      </c>
      <c r="M18" s="261">
        <v>2</v>
      </c>
      <c r="N18" s="261">
        <v>0</v>
      </c>
    </row>
    <row r="19" spans="1:14" ht="30" customHeight="1">
      <c r="A19" s="689"/>
      <c r="B19" s="689"/>
      <c r="C19" s="698" t="s">
        <v>474</v>
      </c>
      <c r="D19" s="698"/>
      <c r="E19" s="267">
        <v>3</v>
      </c>
      <c r="F19" s="267">
        <v>2</v>
      </c>
      <c r="G19" s="268">
        <v>0</v>
      </c>
      <c r="H19" s="269"/>
    </row>
    <row r="20" spans="1:14">
      <c r="A20" s="695" t="s">
        <v>477</v>
      </c>
      <c r="B20" s="695"/>
      <c r="C20" s="695"/>
      <c r="D20" s="695"/>
      <c r="I20" s="261">
        <f>SUM(I18,I13,I10,I5)</f>
        <v>45</v>
      </c>
    </row>
    <row r="21" spans="1:14">
      <c r="A21" s="679" t="s">
        <v>479</v>
      </c>
      <c r="B21" s="679"/>
      <c r="C21" s="679"/>
      <c r="D21" s="696" t="s">
        <v>478</v>
      </c>
    </row>
    <row r="22" spans="1:14">
      <c r="A22" s="679" t="s">
        <v>480</v>
      </c>
      <c r="B22" s="679"/>
      <c r="C22" s="679"/>
      <c r="D22" s="696"/>
    </row>
    <row r="23" spans="1:14">
      <c r="A23" s="685" t="s">
        <v>527</v>
      </c>
      <c r="B23" s="686"/>
      <c r="C23" s="686"/>
      <c r="D23" s="686"/>
    </row>
    <row r="24" spans="1:14">
      <c r="A24" s="194"/>
      <c r="B24" s="194"/>
      <c r="C24" s="194"/>
      <c r="D24" s="194"/>
    </row>
    <row r="25" spans="1:14">
      <c r="A25" s="256" t="s">
        <v>537</v>
      </c>
      <c r="B25" s="256" t="s">
        <v>536</v>
      </c>
      <c r="C25" s="256" t="s">
        <v>535</v>
      </c>
      <c r="D25" s="256" t="s">
        <v>538</v>
      </c>
    </row>
    <row r="26" spans="1:14">
      <c r="A26" s="210" t="s">
        <v>123</v>
      </c>
      <c r="B26" s="243">
        <v>15</v>
      </c>
      <c r="C26" s="258">
        <v>1.5</v>
      </c>
      <c r="D26" s="6">
        <f>C26*B26</f>
        <v>22.5</v>
      </c>
    </row>
    <row r="27" spans="1:14">
      <c r="A27" s="210" t="s">
        <v>11</v>
      </c>
      <c r="B27" s="243">
        <v>9</v>
      </c>
      <c r="C27" s="258">
        <v>1.5</v>
      </c>
      <c r="D27" s="6">
        <f t="shared" ref="D27:D29" si="0">C27*B27</f>
        <v>13.5</v>
      </c>
    </row>
    <row r="28" spans="1:14">
      <c r="A28" s="210" t="s">
        <v>125</v>
      </c>
      <c r="B28" s="243">
        <v>15</v>
      </c>
      <c r="C28" s="258">
        <v>3</v>
      </c>
      <c r="D28" s="6">
        <f t="shared" si="0"/>
        <v>45</v>
      </c>
    </row>
    <row r="29" spans="1:14">
      <c r="A29" s="210" t="s">
        <v>139</v>
      </c>
      <c r="B29" s="243">
        <v>6</v>
      </c>
      <c r="C29" s="258">
        <v>2.5</v>
      </c>
      <c r="D29" s="6">
        <f t="shared" si="0"/>
        <v>15</v>
      </c>
    </row>
    <row r="31" spans="1:14">
      <c r="D31" s="257">
        <f>SUM(D26:D29)</f>
        <v>96</v>
      </c>
    </row>
    <row r="35" spans="27:42">
      <c r="AA35" s="261">
        <v>15</v>
      </c>
      <c r="AB35" s="262">
        <v>14</v>
      </c>
      <c r="AC35" s="262">
        <v>12</v>
      </c>
      <c r="AD35" s="262">
        <v>11</v>
      </c>
      <c r="AE35" s="261">
        <v>10</v>
      </c>
      <c r="AF35" s="261">
        <v>9</v>
      </c>
      <c r="AG35" s="262">
        <v>8</v>
      </c>
      <c r="AH35" s="262">
        <v>6</v>
      </c>
      <c r="AI35" s="262">
        <v>5</v>
      </c>
      <c r="AJ35" s="262">
        <v>4</v>
      </c>
      <c r="AK35" s="262">
        <v>3</v>
      </c>
      <c r="AL35" s="262">
        <v>2</v>
      </c>
      <c r="AM35" s="262">
        <v>0</v>
      </c>
    </row>
    <row r="36" spans="27:42">
      <c r="AA36" s="261">
        <v>9</v>
      </c>
      <c r="AB36" s="261">
        <v>8</v>
      </c>
      <c r="AC36" s="261">
        <v>7</v>
      </c>
      <c r="AD36" s="261">
        <v>6</v>
      </c>
      <c r="AE36" s="261">
        <v>5</v>
      </c>
      <c r="AF36" s="261">
        <v>4</v>
      </c>
      <c r="AG36" s="261">
        <v>3</v>
      </c>
      <c r="AH36" s="261">
        <v>2</v>
      </c>
      <c r="AI36" s="261">
        <v>1</v>
      </c>
      <c r="AJ36" s="261">
        <v>0</v>
      </c>
    </row>
    <row r="37" spans="27:42">
      <c r="AA37" s="261">
        <v>15</v>
      </c>
      <c r="AB37" s="261">
        <v>14</v>
      </c>
      <c r="AC37" s="261">
        <v>13</v>
      </c>
      <c r="AD37" s="261">
        <v>12</v>
      </c>
      <c r="AE37" s="261">
        <v>11</v>
      </c>
      <c r="AF37" s="261">
        <v>10</v>
      </c>
      <c r="AG37" s="261">
        <v>9</v>
      </c>
      <c r="AH37" s="261">
        <v>8</v>
      </c>
      <c r="AI37" s="261">
        <v>7</v>
      </c>
      <c r="AJ37" s="261">
        <v>6</v>
      </c>
      <c r="AK37" s="261">
        <v>5</v>
      </c>
      <c r="AL37" s="261">
        <v>4</v>
      </c>
      <c r="AM37" s="261">
        <v>3</v>
      </c>
      <c r="AN37" s="261">
        <v>2</v>
      </c>
      <c r="AO37" s="261">
        <v>1</v>
      </c>
      <c r="AP37" s="261">
        <v>0</v>
      </c>
    </row>
    <row r="38" spans="27:42">
      <c r="AA38" s="261">
        <v>6</v>
      </c>
      <c r="AB38" s="261">
        <v>5</v>
      </c>
      <c r="AC38" s="261">
        <v>4</v>
      </c>
      <c r="AD38" s="261">
        <v>3</v>
      </c>
      <c r="AE38" s="261">
        <v>2</v>
      </c>
      <c r="AF38" s="261">
        <v>0</v>
      </c>
    </row>
    <row r="40" spans="27:42">
      <c r="AA40" s="259">
        <f>AA35*1.5</f>
        <v>22.5</v>
      </c>
      <c r="AB40" s="259">
        <f t="shared" ref="AB40:AM40" si="1">AB35*1.5</f>
        <v>21</v>
      </c>
      <c r="AC40" s="259">
        <f t="shared" si="1"/>
        <v>18</v>
      </c>
      <c r="AD40" s="259">
        <f t="shared" si="1"/>
        <v>16.5</v>
      </c>
      <c r="AE40" s="259">
        <f t="shared" si="1"/>
        <v>15</v>
      </c>
      <c r="AF40" s="259">
        <f t="shared" si="1"/>
        <v>13.5</v>
      </c>
      <c r="AG40" s="259">
        <f t="shared" si="1"/>
        <v>12</v>
      </c>
      <c r="AH40" s="259">
        <f t="shared" si="1"/>
        <v>9</v>
      </c>
      <c r="AI40" s="259">
        <f t="shared" si="1"/>
        <v>7.5</v>
      </c>
      <c r="AJ40" s="259">
        <f t="shared" si="1"/>
        <v>6</v>
      </c>
      <c r="AK40" s="259">
        <f t="shared" si="1"/>
        <v>4.5</v>
      </c>
      <c r="AL40" s="259">
        <f t="shared" si="1"/>
        <v>3</v>
      </c>
      <c r="AM40" s="259">
        <f t="shared" si="1"/>
        <v>0</v>
      </c>
      <c r="AN40" s="259"/>
      <c r="AO40" s="259"/>
      <c r="AP40" s="259"/>
    </row>
    <row r="41" spans="27:42">
      <c r="AA41" s="259">
        <f>AA36*1.5</f>
        <v>13.5</v>
      </c>
      <c r="AB41" s="259">
        <f t="shared" ref="AB41:AJ41" si="2">AB36*1.5</f>
        <v>12</v>
      </c>
      <c r="AC41" s="259">
        <f t="shared" si="2"/>
        <v>10.5</v>
      </c>
      <c r="AD41" s="259">
        <f t="shared" si="2"/>
        <v>9</v>
      </c>
      <c r="AE41" s="259">
        <f t="shared" si="2"/>
        <v>7.5</v>
      </c>
      <c r="AF41" s="259">
        <f t="shared" si="2"/>
        <v>6</v>
      </c>
      <c r="AG41" s="259">
        <f t="shared" si="2"/>
        <v>4.5</v>
      </c>
      <c r="AH41" s="259">
        <f t="shared" si="2"/>
        <v>3</v>
      </c>
      <c r="AI41" s="259">
        <f t="shared" si="2"/>
        <v>1.5</v>
      </c>
      <c r="AJ41" s="259">
        <f t="shared" si="2"/>
        <v>0</v>
      </c>
      <c r="AK41" s="259"/>
      <c r="AL41" s="259"/>
      <c r="AM41" s="259"/>
      <c r="AN41" s="259"/>
      <c r="AO41" s="259"/>
      <c r="AP41" s="259"/>
    </row>
    <row r="42" spans="27:42">
      <c r="AA42" s="259">
        <f>AA37*3</f>
        <v>45</v>
      </c>
      <c r="AB42" s="259">
        <f t="shared" ref="AB42:AP42" si="3">AB37*3</f>
        <v>42</v>
      </c>
      <c r="AC42" s="259">
        <f t="shared" si="3"/>
        <v>39</v>
      </c>
      <c r="AD42" s="259">
        <f t="shared" si="3"/>
        <v>36</v>
      </c>
      <c r="AE42" s="259">
        <f t="shared" si="3"/>
        <v>33</v>
      </c>
      <c r="AF42" s="259">
        <f t="shared" si="3"/>
        <v>30</v>
      </c>
      <c r="AG42" s="259">
        <f t="shared" si="3"/>
        <v>27</v>
      </c>
      <c r="AH42" s="259">
        <f t="shared" si="3"/>
        <v>24</v>
      </c>
      <c r="AI42" s="259">
        <f t="shared" si="3"/>
        <v>21</v>
      </c>
      <c r="AJ42" s="259">
        <f t="shared" si="3"/>
        <v>18</v>
      </c>
      <c r="AK42" s="259">
        <f t="shared" si="3"/>
        <v>15</v>
      </c>
      <c r="AL42" s="259">
        <f t="shared" si="3"/>
        <v>12</v>
      </c>
      <c r="AM42" s="259">
        <f t="shared" si="3"/>
        <v>9</v>
      </c>
      <c r="AN42" s="259">
        <f t="shared" si="3"/>
        <v>6</v>
      </c>
      <c r="AO42" s="259">
        <f t="shared" si="3"/>
        <v>3</v>
      </c>
      <c r="AP42" s="259">
        <f t="shared" si="3"/>
        <v>0</v>
      </c>
    </row>
    <row r="43" spans="27:42">
      <c r="AA43" s="259">
        <f>AA38*2.5</f>
        <v>15</v>
      </c>
      <c r="AB43" s="259">
        <f t="shared" ref="AB43:AF43" si="4">AB38*2.5</f>
        <v>12.5</v>
      </c>
      <c r="AC43" s="259">
        <f t="shared" si="4"/>
        <v>10</v>
      </c>
      <c r="AD43" s="259">
        <f t="shared" si="4"/>
        <v>7.5</v>
      </c>
      <c r="AE43" s="259">
        <f t="shared" si="4"/>
        <v>5</v>
      </c>
      <c r="AF43" s="259">
        <f t="shared" si="4"/>
        <v>0</v>
      </c>
      <c r="AG43" s="259"/>
      <c r="AH43" s="259"/>
      <c r="AI43" s="259"/>
      <c r="AJ43" s="259"/>
      <c r="AK43" s="259"/>
      <c r="AL43" s="259"/>
      <c r="AM43" s="259"/>
      <c r="AN43" s="259"/>
      <c r="AO43" s="259"/>
      <c r="AP43" s="259"/>
    </row>
    <row r="45" spans="27:42">
      <c r="AA45" s="259">
        <f>AA40+AA41+AA42+AA43</f>
        <v>96</v>
      </c>
      <c r="AB45" s="259">
        <f>AA40+AB41+AA42+AA43</f>
        <v>94.5</v>
      </c>
      <c r="AC45" s="259">
        <f>AA40+AA41+AB42+AA43</f>
        <v>93</v>
      </c>
      <c r="AD45" s="259">
        <f>AA40+AA41+AA42+AB43</f>
        <v>93.5</v>
      </c>
      <c r="AE45" s="259">
        <f>AB40+AB41+AA42+AA43</f>
        <v>93</v>
      </c>
      <c r="AF45" s="259">
        <f>AB40+AC41+AA42+AA43</f>
        <v>91.5</v>
      </c>
      <c r="AG45" s="259">
        <f>AB40+AD41+AA42+AA43</f>
        <v>90</v>
      </c>
      <c r="AH45" s="259">
        <f>AB40+AE41+AA42+AA43</f>
        <v>88.5</v>
      </c>
      <c r="AI45" s="259">
        <f>AB40+AF41+AA42+AA43</f>
        <v>87</v>
      </c>
      <c r="AJ45" s="259">
        <f>AB40+AG41+AA42+AA43</f>
        <v>85.5</v>
      </c>
      <c r="AK45" s="259">
        <f>AB40+AH41+AA42+AA43</f>
        <v>84</v>
      </c>
      <c r="AL45" s="259">
        <f>AB40+AI41+AA42+AA43</f>
        <v>82.5</v>
      </c>
      <c r="AM45" s="259">
        <f>AB40+AJ41+AA42+AA43</f>
        <v>81</v>
      </c>
    </row>
    <row r="46" spans="27:42">
      <c r="AA46" s="259">
        <f>AB40+AA41+AA42+AA43</f>
        <v>94.5</v>
      </c>
      <c r="AB46" s="259">
        <f>AA40+AC41+AA42+AA43</f>
        <v>93</v>
      </c>
      <c r="AC46" s="259">
        <f>AA40+AA41+AC42+AA43</f>
        <v>90</v>
      </c>
      <c r="AD46" s="259">
        <f>AA40+AA41+AA42+AC43</f>
        <v>91</v>
      </c>
      <c r="AE46" s="259">
        <f>AC40+AB41+AA42+AA43</f>
        <v>90</v>
      </c>
      <c r="AF46" s="259">
        <f>AC40+AC41+AA42+AA43</f>
        <v>88.5</v>
      </c>
      <c r="AG46" s="259">
        <f>AC40+AD41+AA42+AA43</f>
        <v>87</v>
      </c>
      <c r="AH46" s="259">
        <f>AC40+AE41+AA42+AA43</f>
        <v>85.5</v>
      </c>
      <c r="AI46" s="259">
        <f>AC40+AF41+AA42+AA43</f>
        <v>84</v>
      </c>
      <c r="AJ46" s="259">
        <f>AC40+AG41+AA42+AA43</f>
        <v>82.5</v>
      </c>
      <c r="AK46" s="259">
        <f>AC40+AH41+AA42+AA43</f>
        <v>81</v>
      </c>
      <c r="AL46" s="259">
        <f>AC40+AI41+AA42+AA43</f>
        <v>79.5</v>
      </c>
      <c r="AM46" s="259">
        <f>AC40+AJ41+AA42+AA43</f>
        <v>78</v>
      </c>
    </row>
    <row r="47" spans="27:42">
      <c r="AA47" s="259">
        <f>AC40+AA41+AA42+AA43</f>
        <v>91.5</v>
      </c>
      <c r="AB47" s="259">
        <f>AA40+AD41+AA42+AA43</f>
        <v>91.5</v>
      </c>
      <c r="AC47" s="259">
        <f>AA40+AA41+AD42+AA43</f>
        <v>87</v>
      </c>
      <c r="AD47" s="259">
        <f>AA40+AA41+AA42+AD43</f>
        <v>88.5</v>
      </c>
      <c r="AE47" s="259">
        <f>AD40+AB41+AA42+AA43</f>
        <v>88.5</v>
      </c>
      <c r="AF47" s="259">
        <f>AD40+AC41+AA42+AA43</f>
        <v>87</v>
      </c>
      <c r="AG47" s="259">
        <f>AD40+AD41+AA42+AA43</f>
        <v>85.5</v>
      </c>
      <c r="AH47" s="259">
        <f>AD40+AE41+AA42+AA43</f>
        <v>84</v>
      </c>
      <c r="AI47" s="259">
        <f>AD40+AF41+AA42+AA43</f>
        <v>82.5</v>
      </c>
      <c r="AJ47" s="259">
        <f>AD40+AG41+AA42+AA43</f>
        <v>81</v>
      </c>
      <c r="AK47" s="259">
        <f>AD40+AH41+AA42+AA43</f>
        <v>79.5</v>
      </c>
      <c r="AL47" s="259">
        <f>AD40+AI41+AA42+AA43</f>
        <v>78</v>
      </c>
      <c r="AM47" s="275">
        <f>AD40+AJ41+AA42+AA43</f>
        <v>76.5</v>
      </c>
    </row>
    <row r="48" spans="27:42">
      <c r="AA48" s="259">
        <f>AE40+AA41+AA42+AA43</f>
        <v>88.5</v>
      </c>
      <c r="AB48" s="259">
        <f>AA40+AE41+AA42+AA43</f>
        <v>90</v>
      </c>
      <c r="AC48" s="259">
        <f>AA40+AA41+AE42+AA43</f>
        <v>84</v>
      </c>
      <c r="AD48" s="259">
        <f>AA40+AA41+AA42+AE43</f>
        <v>86</v>
      </c>
      <c r="AE48" s="259">
        <f>AE40+AB41+AA42+AA43</f>
        <v>87</v>
      </c>
      <c r="AF48" s="259">
        <f>AE40+AC41+AA42+AA43</f>
        <v>85.5</v>
      </c>
      <c r="AG48" s="259">
        <f>AE40+AD41+AA42+AA43</f>
        <v>84</v>
      </c>
      <c r="AH48" s="259">
        <f>AE40+AE41+AA42+AA43</f>
        <v>82.5</v>
      </c>
      <c r="AI48" s="259">
        <f>AE40+AF41+AA42+AA43</f>
        <v>81</v>
      </c>
      <c r="AJ48" s="259">
        <f>AE40+AG41+AA42+AA43</f>
        <v>79.5</v>
      </c>
      <c r="AK48" s="259">
        <f>AE40+AH41+AA42+AA43</f>
        <v>78</v>
      </c>
      <c r="AL48" s="275">
        <f>AE40+AI41+AA42+AA43</f>
        <v>76.5</v>
      </c>
      <c r="AM48" s="259">
        <f>AE40+AJ41+AA42+AA43</f>
        <v>75</v>
      </c>
    </row>
    <row r="49" spans="27:39">
      <c r="AA49" s="259">
        <f>AF40+AA41+AA42+AA43</f>
        <v>87</v>
      </c>
      <c r="AB49" s="259">
        <f>AA40+AF41+AA42+AA43</f>
        <v>88.5</v>
      </c>
      <c r="AC49" s="259">
        <f>AA40+AA41+AF42+AA43</f>
        <v>81</v>
      </c>
      <c r="AD49" s="259">
        <f>AA40+AA41+AA42+AF43</f>
        <v>81</v>
      </c>
      <c r="AE49" s="259">
        <f>AF40+AB41+AA42+AA43</f>
        <v>85.5</v>
      </c>
      <c r="AF49" s="259">
        <f>AF40+AC41+AA42+AA43</f>
        <v>84</v>
      </c>
      <c r="AG49" s="259">
        <f>AF40+AD41+AA42+AA43</f>
        <v>82.5</v>
      </c>
      <c r="AH49" s="259">
        <f>AF40+AE41+AA42+AA43</f>
        <v>81</v>
      </c>
      <c r="AI49" s="259">
        <f>AF40+AF41+AA42+AA43</f>
        <v>79.5</v>
      </c>
      <c r="AJ49" s="259">
        <f>AF40+AG41+AA42+AA43</f>
        <v>78</v>
      </c>
      <c r="AK49" s="275">
        <f>AF40+AH41+AA42+AA43</f>
        <v>76.5</v>
      </c>
      <c r="AL49" s="259">
        <f>AF40+AI41+AA42+AA43</f>
        <v>75</v>
      </c>
      <c r="AM49" s="259">
        <f>AF40+AJ41+AA42+AA43</f>
        <v>73.5</v>
      </c>
    </row>
    <row r="50" spans="27:39">
      <c r="AA50" s="259">
        <f>AG40+AA41+AA42+AA43</f>
        <v>85.5</v>
      </c>
      <c r="AB50" s="259">
        <f>AA40+AG41+AA42+AA43</f>
        <v>87</v>
      </c>
      <c r="AC50" s="259">
        <f>AA40+AA41+AG42+AA43</f>
        <v>78</v>
      </c>
      <c r="AE50" s="259">
        <f>AG40+AB41+AA42+AA43</f>
        <v>84</v>
      </c>
      <c r="AF50" s="259">
        <f>AG40+AC41+AA42+AA43</f>
        <v>82.5</v>
      </c>
      <c r="AG50" s="259">
        <f>AG40+AD41+AA42+AA43</f>
        <v>81</v>
      </c>
      <c r="AH50" s="259">
        <f>AG40+AE41+AA42+AA43</f>
        <v>79.5</v>
      </c>
      <c r="AI50" s="259">
        <f>AG40+AF41+AA42+AA43</f>
        <v>78</v>
      </c>
      <c r="AJ50" s="275">
        <f>AG40+AG41+AA42+AA43</f>
        <v>76.5</v>
      </c>
      <c r="AK50" s="259">
        <f>AG40+AH41+AA42+AA43</f>
        <v>75</v>
      </c>
      <c r="AL50" s="259">
        <f>AG40+AI41+AA42+AA43</f>
        <v>73.5</v>
      </c>
      <c r="AM50" s="259">
        <f>AG40+AJ41+AA42+AA43</f>
        <v>72</v>
      </c>
    </row>
    <row r="51" spans="27:39">
      <c r="AA51" s="259">
        <f>AH40+AA41+AA42+AA43</f>
        <v>82.5</v>
      </c>
      <c r="AB51" s="259">
        <f>AA40+AH41+AA42+AA43</f>
        <v>85.5</v>
      </c>
      <c r="AC51" s="259">
        <f>AA40+AA41+AH42+AA43</f>
        <v>75</v>
      </c>
      <c r="AE51" s="259">
        <f>AH40+AB41+AA42+AA43</f>
        <v>81</v>
      </c>
      <c r="AF51" s="259">
        <f>AH40+AC41+AA42+AA43</f>
        <v>79.5</v>
      </c>
      <c r="AG51" s="259">
        <f>AH40+AD41+AA42+AA43</f>
        <v>78</v>
      </c>
      <c r="AH51" s="275">
        <f>AH40+AE41+AA42+AA43</f>
        <v>76.5</v>
      </c>
      <c r="AI51" s="259">
        <f>AH40+AF41+AA42+AA43</f>
        <v>75</v>
      </c>
      <c r="AJ51" s="259">
        <f>AH40+AG41+AA42+AA43</f>
        <v>73.5</v>
      </c>
      <c r="AK51" s="259">
        <f>AH40+AH41+AA42+AA43</f>
        <v>72</v>
      </c>
      <c r="AL51" s="259">
        <f>AH40+AI41+AA42+AA43</f>
        <v>70.5</v>
      </c>
      <c r="AM51" s="259">
        <f>AH40+AJ41+AA42+AA43</f>
        <v>69</v>
      </c>
    </row>
    <row r="52" spans="27:39">
      <c r="AA52" s="259">
        <f>AI40+AA41+AA42+AA43</f>
        <v>81</v>
      </c>
      <c r="AB52" s="259">
        <f>AA40+AI41+AA42+AA43</f>
        <v>84</v>
      </c>
      <c r="AC52" s="259">
        <f>AA40+AA41+AI42+AA43</f>
        <v>72</v>
      </c>
      <c r="AE52" s="259">
        <f>AI40+AB41+AA42+AA43</f>
        <v>79.5</v>
      </c>
      <c r="AF52" s="259">
        <f>AI40+AC41+AA42+AA43</f>
        <v>78</v>
      </c>
      <c r="AG52" s="275">
        <f>AI40+AD41+AA42+AA43</f>
        <v>76.5</v>
      </c>
      <c r="AH52" s="259">
        <f>AI40+AE41+AA42+AA43</f>
        <v>75</v>
      </c>
      <c r="AI52" s="259">
        <f>AI40+AF41+AA42+AA43</f>
        <v>73.5</v>
      </c>
      <c r="AJ52" s="259">
        <f>AI40+AG41+AA42+AA43</f>
        <v>72</v>
      </c>
      <c r="AK52" s="259">
        <f>AI40+AH41+AA42+AA43</f>
        <v>70.5</v>
      </c>
      <c r="AL52" s="259">
        <f>AI40+AI41+AA42+AA43</f>
        <v>69</v>
      </c>
      <c r="AM52" s="259">
        <f>AI40+AJ41+AA42+AA43</f>
        <v>67.5</v>
      </c>
    </row>
    <row r="53" spans="27:39">
      <c r="AA53" s="259">
        <f>AJ40+AA41+AA42+AA43</f>
        <v>79.5</v>
      </c>
      <c r="AB53" s="259">
        <f>AA40+AJ41+AA42+AA43</f>
        <v>82.5</v>
      </c>
      <c r="AC53" s="259">
        <f>AA40+AA41+AJ42+AA43</f>
        <v>69</v>
      </c>
      <c r="AE53" s="259">
        <f>AJ40+AB41+AA42+AA43</f>
        <v>78</v>
      </c>
      <c r="AF53" s="275">
        <f>AJ40+AC41+AA42+AA43</f>
        <v>76.5</v>
      </c>
      <c r="AG53" s="259">
        <f>AJ40+AD41+AA42+AA43</f>
        <v>75</v>
      </c>
      <c r="AH53" s="259">
        <f>AJ40+AE41+AA42+AA43</f>
        <v>73.5</v>
      </c>
      <c r="AI53" s="259">
        <f>AJ40+AF41+AA42+AA43</f>
        <v>72</v>
      </c>
      <c r="AJ53" s="259">
        <f>AJ40+AG41+AA42+AA43</f>
        <v>70.5</v>
      </c>
      <c r="AK53" s="259">
        <f>AJ40+AH41+AA42+AA43</f>
        <v>69</v>
      </c>
      <c r="AL53" s="259">
        <f>AJ40+AI41+AA42+AA43</f>
        <v>67.5</v>
      </c>
      <c r="AM53" s="259">
        <f>AJ40+AJ41+AA42+AA43</f>
        <v>66</v>
      </c>
    </row>
    <row r="54" spans="27:39">
      <c r="AA54" s="259">
        <f>AK40+AA41+AA42+AA43</f>
        <v>78</v>
      </c>
      <c r="AC54" s="259">
        <f>AA40+AA41+AK42+AA43</f>
        <v>66</v>
      </c>
      <c r="AE54" s="275">
        <f>AK40+AB41+AA42+AA43</f>
        <v>76.5</v>
      </c>
      <c r="AF54" s="259">
        <f>AK40+AC41+AA42+AA43</f>
        <v>75</v>
      </c>
      <c r="AG54" s="259">
        <f>AK40+AD41+AA42+AA43</f>
        <v>73.5</v>
      </c>
      <c r="AH54" s="259">
        <f>AK40+AE41+AA42+AA43</f>
        <v>72</v>
      </c>
      <c r="AI54" s="259">
        <f>AK40+AF41+AA42+AA43</f>
        <v>70.5</v>
      </c>
      <c r="AJ54" s="259">
        <f>AK40+AG41+AA42+AA43</f>
        <v>69</v>
      </c>
      <c r="AK54" s="259">
        <f>AK40+AH41+AA42+AA43</f>
        <v>67.5</v>
      </c>
      <c r="AL54" s="259">
        <f>AK40+AI41+AA42+AA43</f>
        <v>66</v>
      </c>
      <c r="AM54" s="259">
        <f>AK40+AJ41+AA42+AA43</f>
        <v>64.5</v>
      </c>
    </row>
    <row r="55" spans="27:39">
      <c r="AA55" s="275">
        <f>AL40+AA41+AA42+AA43</f>
        <v>76.5</v>
      </c>
      <c r="AC55" s="259">
        <f>AA40+AA41+AL42+AA43</f>
        <v>63</v>
      </c>
      <c r="AE55" s="259">
        <f>AL40+AB41+AA42+AA43</f>
        <v>75</v>
      </c>
      <c r="AF55" s="259">
        <f>AL40+AC41+AA42+AA43</f>
        <v>73.5</v>
      </c>
      <c r="AG55" s="259">
        <f>AL40+AD41+AA42+AA43</f>
        <v>72</v>
      </c>
      <c r="AH55" s="259">
        <f>AL40+AE41+AA42+AA43</f>
        <v>70.5</v>
      </c>
      <c r="AI55" s="259">
        <f>AL40+AF41+AA42+AA43</f>
        <v>69</v>
      </c>
      <c r="AJ55" s="259">
        <f>AL40+AG41+AA42+AA43</f>
        <v>67.5</v>
      </c>
      <c r="AK55" s="259">
        <f>AL40+AH41+AA42+AA43</f>
        <v>66</v>
      </c>
      <c r="AL55" s="259">
        <f>AL40+AI41+AA42+AA43</f>
        <v>64.5</v>
      </c>
      <c r="AM55" s="259">
        <f>AL40+AJ41+AA42+AA43</f>
        <v>63</v>
      </c>
    </row>
    <row r="56" spans="27:39">
      <c r="AA56" s="259">
        <f>AM40+AA41+AA42+AA43</f>
        <v>73.5</v>
      </c>
      <c r="AC56" s="259">
        <f>AA40+AA41+AM42+AA43</f>
        <v>60</v>
      </c>
      <c r="AE56" s="259">
        <f>AM40+AB41+AA42+AA43</f>
        <v>72</v>
      </c>
      <c r="AF56" s="259">
        <f>AM40+AC41+AA42+AA43</f>
        <v>70.5</v>
      </c>
      <c r="AG56" s="259">
        <f>AM40+AD41+AA42+AA43</f>
        <v>69</v>
      </c>
      <c r="AH56" s="259">
        <f>AM40+AE41+AA42+AA43</f>
        <v>67.5</v>
      </c>
      <c r="AI56" s="259">
        <f>AM40+AF41+AA42+AA43</f>
        <v>66</v>
      </c>
      <c r="AJ56" s="259">
        <f>AM40+AG41+AA42+AA43</f>
        <v>64.5</v>
      </c>
      <c r="AK56" s="259">
        <f>AM40+AH41+AA42+AA43</f>
        <v>63</v>
      </c>
      <c r="AL56" s="259">
        <f>AM40+AI41+AA42+AA43</f>
        <v>61.5</v>
      </c>
      <c r="AM56" s="259">
        <f>AM40+AJ41+AA42+AA43</f>
        <v>60</v>
      </c>
    </row>
    <row r="57" spans="27:39">
      <c r="AA57" s="259"/>
      <c r="AC57" s="259">
        <f>AA40+AA41+AN42+AA43</f>
        <v>57</v>
      </c>
      <c r="AE57" s="259"/>
    </row>
    <row r="58" spans="27:39">
      <c r="AC58" s="259">
        <f>AA40+AA41+AO42+AA43</f>
        <v>54</v>
      </c>
      <c r="AE58" s="259"/>
    </row>
    <row r="59" spans="27:39">
      <c r="AC59" s="259">
        <f>AA40+AA41+AP42+AA43</f>
        <v>51</v>
      </c>
    </row>
  </sheetData>
  <mergeCells count="30">
    <mergeCell ref="A23:D23"/>
    <mergeCell ref="A20:D20"/>
    <mergeCell ref="A21:C21"/>
    <mergeCell ref="D21:D22"/>
    <mergeCell ref="A22:C22"/>
    <mergeCell ref="C16:D16"/>
    <mergeCell ref="C17:D17"/>
    <mergeCell ref="A18:A19"/>
    <mergeCell ref="B18:B19"/>
    <mergeCell ref="C18:D18"/>
    <mergeCell ref="C19:D19"/>
    <mergeCell ref="A13:A17"/>
    <mergeCell ref="B13:B17"/>
    <mergeCell ref="C13:D13"/>
    <mergeCell ref="C14:D14"/>
    <mergeCell ref="C15:D15"/>
    <mergeCell ref="A10:A12"/>
    <mergeCell ref="B10:B12"/>
    <mergeCell ref="C10:D10"/>
    <mergeCell ref="C11:D11"/>
    <mergeCell ref="C12:D12"/>
    <mergeCell ref="A1:D1"/>
    <mergeCell ref="B4:D4"/>
    <mergeCell ref="A5:A9"/>
    <mergeCell ref="B5:B9"/>
    <mergeCell ref="C5:D5"/>
    <mergeCell ref="C6:D6"/>
    <mergeCell ref="C7:D7"/>
    <mergeCell ref="C8:D8"/>
    <mergeCell ref="C9:D9"/>
  </mergeCells>
  <pageMargins left="0.511811024" right="0.511811024" top="0.78740157499999996" bottom="0.78740157499999996" header="0.31496062000000002" footer="0.31496062000000002"/>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B2:D113"/>
  <sheetViews>
    <sheetView workbookViewId="0"/>
  </sheetViews>
  <sheetFormatPr defaultRowHeight="15"/>
  <cols>
    <col min="2" max="2" width="9.140625" style="6"/>
    <col min="3" max="4" width="9.140625" style="276"/>
  </cols>
  <sheetData>
    <row r="2" spans="2:4">
      <c r="B2" s="6">
        <v>76.5</v>
      </c>
      <c r="C2" s="276">
        <v>1</v>
      </c>
      <c r="D2" s="276">
        <f>100%</f>
        <v>1</v>
      </c>
    </row>
    <row r="3" spans="2:4">
      <c r="B3" s="6">
        <f>B2-0.5</f>
        <v>76</v>
      </c>
      <c r="C3" s="276">
        <f t="shared" ref="C3:C9" si="0">(B3*C2)/B2</f>
        <v>0.99346405228758172</v>
      </c>
      <c r="D3" s="276">
        <f>B3*$D$2/$B$2</f>
        <v>0.99346405228758172</v>
      </c>
    </row>
    <row r="4" spans="2:4">
      <c r="B4" s="6">
        <f t="shared" ref="B4:B67" si="1">B3-0.5</f>
        <v>75.5</v>
      </c>
      <c r="C4" s="276">
        <f t="shared" si="0"/>
        <v>0.98692810457516345</v>
      </c>
      <c r="D4" s="276">
        <f t="shared" ref="D4:D67" si="2">B4*$D$2/$B$2</f>
        <v>0.98692810457516345</v>
      </c>
    </row>
    <row r="5" spans="2:4">
      <c r="B5" s="6">
        <f t="shared" si="1"/>
        <v>75</v>
      </c>
      <c r="C5" s="276">
        <f t="shared" si="0"/>
        <v>0.98039215686274528</v>
      </c>
      <c r="D5" s="276">
        <f t="shared" si="2"/>
        <v>0.98039215686274506</v>
      </c>
    </row>
    <row r="6" spans="2:4">
      <c r="B6" s="6">
        <f t="shared" si="1"/>
        <v>74.5</v>
      </c>
      <c r="C6" s="276">
        <f t="shared" si="0"/>
        <v>0.97385620915032689</v>
      </c>
      <c r="D6" s="276">
        <f t="shared" si="2"/>
        <v>0.97385620915032678</v>
      </c>
    </row>
    <row r="7" spans="2:4">
      <c r="B7" s="6">
        <f t="shared" si="1"/>
        <v>74</v>
      </c>
      <c r="C7" s="276">
        <f t="shared" si="0"/>
        <v>0.96732026143790861</v>
      </c>
      <c r="D7" s="276">
        <f t="shared" si="2"/>
        <v>0.9673202614379085</v>
      </c>
    </row>
    <row r="8" spans="2:4">
      <c r="B8" s="6">
        <f t="shared" si="1"/>
        <v>73.5</v>
      </c>
      <c r="C8" s="276">
        <f t="shared" si="0"/>
        <v>0.96078431372549034</v>
      </c>
      <c r="D8" s="276">
        <f t="shared" si="2"/>
        <v>0.96078431372549022</v>
      </c>
    </row>
    <row r="9" spans="2:4">
      <c r="B9" s="6">
        <f t="shared" si="1"/>
        <v>73</v>
      </c>
      <c r="C9" s="276">
        <f t="shared" si="0"/>
        <v>0.95424836601307217</v>
      </c>
      <c r="D9" s="276">
        <f t="shared" si="2"/>
        <v>0.95424836601307195</v>
      </c>
    </row>
    <row r="10" spans="2:4">
      <c r="B10" s="6">
        <f t="shared" si="1"/>
        <v>72.5</v>
      </c>
      <c r="C10" s="276">
        <f t="shared" ref="C10:C67" si="3">(B10*C9)/B9</f>
        <v>0.94771241830065378</v>
      </c>
      <c r="D10" s="276">
        <f t="shared" si="2"/>
        <v>0.94771241830065356</v>
      </c>
    </row>
    <row r="11" spans="2:4">
      <c r="B11" s="6">
        <f t="shared" si="1"/>
        <v>72</v>
      </c>
      <c r="C11" s="276">
        <f>(B11*C10)/B10</f>
        <v>0.9411764705882355</v>
      </c>
      <c r="D11" s="276">
        <f t="shared" si="2"/>
        <v>0.94117647058823528</v>
      </c>
    </row>
    <row r="12" spans="2:4">
      <c r="B12" s="6">
        <f>B11-0.5</f>
        <v>71.5</v>
      </c>
      <c r="C12" s="276">
        <f t="shared" si="3"/>
        <v>0.93464052287581723</v>
      </c>
      <c r="D12" s="276">
        <f t="shared" si="2"/>
        <v>0.934640522875817</v>
      </c>
    </row>
    <row r="13" spans="2:4">
      <c r="B13" s="6">
        <f>B12-0.5</f>
        <v>71</v>
      </c>
      <c r="C13" s="276">
        <f t="shared" si="3"/>
        <v>0.92810457516339906</v>
      </c>
      <c r="D13" s="276">
        <f t="shared" si="2"/>
        <v>0.92810457516339873</v>
      </c>
    </row>
    <row r="14" spans="2:4">
      <c r="B14" s="6">
        <f>B13-0.5</f>
        <v>70.5</v>
      </c>
      <c r="C14" s="276">
        <f t="shared" si="3"/>
        <v>0.92156862745098067</v>
      </c>
      <c r="D14" s="276">
        <f t="shared" si="2"/>
        <v>0.92156862745098034</v>
      </c>
    </row>
    <row r="15" spans="2:4">
      <c r="B15" s="6">
        <f t="shared" si="1"/>
        <v>70</v>
      </c>
      <c r="C15" s="276">
        <f t="shared" si="3"/>
        <v>0.91503267973856239</v>
      </c>
      <c r="D15" s="276">
        <f t="shared" si="2"/>
        <v>0.91503267973856206</v>
      </c>
    </row>
    <row r="16" spans="2:4">
      <c r="B16" s="6">
        <f t="shared" si="1"/>
        <v>69.5</v>
      </c>
      <c r="C16" s="276">
        <f t="shared" si="3"/>
        <v>0.90849673202614412</v>
      </c>
      <c r="D16" s="276">
        <f t="shared" si="2"/>
        <v>0.90849673202614378</v>
      </c>
    </row>
    <row r="17" spans="2:4">
      <c r="B17" s="6">
        <f t="shared" si="1"/>
        <v>69</v>
      </c>
      <c r="C17" s="276">
        <f t="shared" si="3"/>
        <v>0.90196078431372584</v>
      </c>
      <c r="D17" s="276">
        <f t="shared" si="2"/>
        <v>0.90196078431372551</v>
      </c>
    </row>
    <row r="18" spans="2:4">
      <c r="B18" s="6">
        <f t="shared" si="1"/>
        <v>68.5</v>
      </c>
      <c r="C18" s="276">
        <f t="shared" si="3"/>
        <v>0.89542483660130756</v>
      </c>
      <c r="D18" s="276">
        <f t="shared" si="2"/>
        <v>0.89542483660130723</v>
      </c>
    </row>
    <row r="19" spans="2:4">
      <c r="B19" s="6">
        <f t="shared" si="1"/>
        <v>68</v>
      </c>
      <c r="C19" s="276">
        <f t="shared" si="3"/>
        <v>0.88888888888888928</v>
      </c>
      <c r="D19" s="276">
        <f t="shared" si="2"/>
        <v>0.88888888888888884</v>
      </c>
    </row>
    <row r="20" spans="2:4">
      <c r="B20" s="6">
        <f t="shared" si="1"/>
        <v>67.5</v>
      </c>
      <c r="C20" s="276">
        <f t="shared" si="3"/>
        <v>0.88235294117647101</v>
      </c>
      <c r="D20" s="276">
        <f t="shared" si="2"/>
        <v>0.88235294117647056</v>
      </c>
    </row>
    <row r="21" spans="2:4">
      <c r="B21" s="6">
        <f t="shared" si="1"/>
        <v>67</v>
      </c>
      <c r="C21" s="276">
        <f t="shared" si="3"/>
        <v>0.87581699346405273</v>
      </c>
      <c r="D21" s="276">
        <f t="shared" si="2"/>
        <v>0.87581699346405228</v>
      </c>
    </row>
    <row r="22" spans="2:4">
      <c r="B22" s="6">
        <f t="shared" si="1"/>
        <v>66.5</v>
      </c>
      <c r="C22" s="276">
        <f t="shared" si="3"/>
        <v>0.86928104575163445</v>
      </c>
      <c r="D22" s="276">
        <f t="shared" si="2"/>
        <v>0.86928104575163401</v>
      </c>
    </row>
    <row r="23" spans="2:4">
      <c r="B23" s="6">
        <f t="shared" si="1"/>
        <v>66</v>
      </c>
      <c r="C23" s="276">
        <f t="shared" si="3"/>
        <v>0.86274509803921617</v>
      </c>
      <c r="D23" s="276">
        <f t="shared" si="2"/>
        <v>0.86274509803921573</v>
      </c>
    </row>
    <row r="24" spans="2:4">
      <c r="B24" s="6">
        <f t="shared" si="1"/>
        <v>65.5</v>
      </c>
      <c r="C24" s="276">
        <f t="shared" si="3"/>
        <v>0.8562091503267979</v>
      </c>
      <c r="D24" s="276">
        <f t="shared" si="2"/>
        <v>0.85620915032679734</v>
      </c>
    </row>
    <row r="25" spans="2:4">
      <c r="B25" s="6">
        <f t="shared" si="1"/>
        <v>65</v>
      </c>
      <c r="C25" s="276">
        <f t="shared" si="3"/>
        <v>0.84967320261437962</v>
      </c>
      <c r="D25" s="276">
        <f t="shared" si="2"/>
        <v>0.84967320261437906</v>
      </c>
    </row>
    <row r="26" spans="2:4">
      <c r="B26" s="6">
        <f t="shared" si="1"/>
        <v>64.5</v>
      </c>
      <c r="C26" s="276">
        <f t="shared" si="3"/>
        <v>0.84313725490196134</v>
      </c>
      <c r="D26" s="276">
        <f t="shared" si="2"/>
        <v>0.84313725490196079</v>
      </c>
    </row>
    <row r="27" spans="2:4">
      <c r="B27" s="6">
        <f t="shared" si="1"/>
        <v>64</v>
      </c>
      <c r="C27" s="276">
        <f t="shared" si="3"/>
        <v>0.83660130718954306</v>
      </c>
      <c r="D27" s="276">
        <f t="shared" si="2"/>
        <v>0.83660130718954251</v>
      </c>
    </row>
    <row r="28" spans="2:4">
      <c r="B28" s="6">
        <f t="shared" si="1"/>
        <v>63.5</v>
      </c>
      <c r="C28" s="276">
        <f t="shared" si="3"/>
        <v>0.83006535947712479</v>
      </c>
      <c r="D28" s="276">
        <f t="shared" si="2"/>
        <v>0.83006535947712423</v>
      </c>
    </row>
    <row r="29" spans="2:4">
      <c r="B29" s="6">
        <f t="shared" si="1"/>
        <v>63</v>
      </c>
      <c r="C29" s="276">
        <f t="shared" si="3"/>
        <v>0.82352941176470651</v>
      </c>
      <c r="D29" s="276">
        <f t="shared" si="2"/>
        <v>0.82352941176470584</v>
      </c>
    </row>
    <row r="30" spans="2:4">
      <c r="B30" s="6">
        <f t="shared" si="1"/>
        <v>62.5</v>
      </c>
      <c r="C30" s="276">
        <f t="shared" si="3"/>
        <v>0.81699346405228823</v>
      </c>
      <c r="D30" s="276">
        <f t="shared" si="2"/>
        <v>0.81699346405228757</v>
      </c>
    </row>
    <row r="31" spans="2:4">
      <c r="B31" s="6">
        <f t="shared" si="1"/>
        <v>62</v>
      </c>
      <c r="C31" s="276">
        <f t="shared" si="3"/>
        <v>0.81045751633986995</v>
      </c>
      <c r="D31" s="276">
        <f t="shared" si="2"/>
        <v>0.81045751633986929</v>
      </c>
    </row>
    <row r="32" spans="2:4">
      <c r="B32" s="6">
        <f t="shared" si="1"/>
        <v>61.5</v>
      </c>
      <c r="C32" s="276">
        <f t="shared" si="3"/>
        <v>0.80392156862745168</v>
      </c>
      <c r="D32" s="276">
        <f t="shared" si="2"/>
        <v>0.80392156862745101</v>
      </c>
    </row>
    <row r="33" spans="2:4">
      <c r="B33" s="6">
        <f t="shared" si="1"/>
        <v>61</v>
      </c>
      <c r="C33" s="276">
        <f t="shared" si="3"/>
        <v>0.7973856209150334</v>
      </c>
      <c r="D33" s="276">
        <f t="shared" si="2"/>
        <v>0.79738562091503273</v>
      </c>
    </row>
    <row r="34" spans="2:4">
      <c r="B34" s="6">
        <f t="shared" si="1"/>
        <v>60.5</v>
      </c>
      <c r="C34" s="276">
        <f t="shared" si="3"/>
        <v>0.79084967320261512</v>
      </c>
      <c r="D34" s="276">
        <f t="shared" si="2"/>
        <v>0.79084967320261434</v>
      </c>
    </row>
    <row r="35" spans="2:4">
      <c r="B35" s="6">
        <f t="shared" si="1"/>
        <v>60</v>
      </c>
      <c r="C35" s="276">
        <f t="shared" si="3"/>
        <v>0.78431372549019684</v>
      </c>
      <c r="D35" s="276">
        <f t="shared" si="2"/>
        <v>0.78431372549019607</v>
      </c>
    </row>
    <row r="36" spans="2:4">
      <c r="B36" s="6">
        <f t="shared" si="1"/>
        <v>59.5</v>
      </c>
      <c r="C36" s="276">
        <f t="shared" si="3"/>
        <v>0.77777777777777857</v>
      </c>
      <c r="D36" s="276">
        <f t="shared" si="2"/>
        <v>0.77777777777777779</v>
      </c>
    </row>
    <row r="37" spans="2:4">
      <c r="B37" s="6">
        <f t="shared" si="1"/>
        <v>59</v>
      </c>
      <c r="C37" s="276">
        <f t="shared" si="3"/>
        <v>0.77124183006536029</v>
      </c>
      <c r="D37" s="276">
        <f t="shared" si="2"/>
        <v>0.77124183006535951</v>
      </c>
    </row>
    <row r="38" spans="2:4">
      <c r="B38" s="6">
        <f t="shared" si="1"/>
        <v>58.5</v>
      </c>
      <c r="C38" s="276">
        <f t="shared" si="3"/>
        <v>0.76470588235294201</v>
      </c>
      <c r="D38" s="276">
        <f t="shared" si="2"/>
        <v>0.76470588235294112</v>
      </c>
    </row>
    <row r="39" spans="2:4">
      <c r="B39" s="6">
        <f t="shared" si="1"/>
        <v>58</v>
      </c>
      <c r="C39" s="276">
        <f t="shared" si="3"/>
        <v>0.75816993464052373</v>
      </c>
      <c r="D39" s="276">
        <f t="shared" si="2"/>
        <v>0.75816993464052285</v>
      </c>
    </row>
    <row r="40" spans="2:4">
      <c r="B40" s="6">
        <f t="shared" si="1"/>
        <v>57.5</v>
      </c>
      <c r="C40" s="276">
        <f t="shared" si="3"/>
        <v>0.75163398692810546</v>
      </c>
      <c r="D40" s="276">
        <f t="shared" si="2"/>
        <v>0.75163398692810457</v>
      </c>
    </row>
    <row r="41" spans="2:4">
      <c r="B41" s="6">
        <f t="shared" si="1"/>
        <v>57</v>
      </c>
      <c r="C41" s="276">
        <f t="shared" si="3"/>
        <v>0.74509803921568718</v>
      </c>
      <c r="D41" s="276">
        <f t="shared" si="2"/>
        <v>0.74509803921568629</v>
      </c>
    </row>
    <row r="42" spans="2:4">
      <c r="B42" s="6">
        <f t="shared" si="1"/>
        <v>56.5</v>
      </c>
      <c r="C42" s="276">
        <f t="shared" si="3"/>
        <v>0.7385620915032689</v>
      </c>
      <c r="D42" s="276">
        <f t="shared" si="2"/>
        <v>0.73856209150326801</v>
      </c>
    </row>
    <row r="43" spans="2:4">
      <c r="B43" s="6">
        <f t="shared" si="1"/>
        <v>56</v>
      </c>
      <c r="C43" s="276">
        <f t="shared" si="3"/>
        <v>0.73202614379085063</v>
      </c>
      <c r="D43" s="276">
        <f t="shared" si="2"/>
        <v>0.73202614379084963</v>
      </c>
    </row>
    <row r="44" spans="2:4">
      <c r="B44" s="6">
        <f t="shared" si="1"/>
        <v>55.5</v>
      </c>
      <c r="C44" s="276">
        <f t="shared" si="3"/>
        <v>0.72549019607843235</v>
      </c>
      <c r="D44" s="276">
        <f t="shared" si="2"/>
        <v>0.72549019607843135</v>
      </c>
    </row>
    <row r="45" spans="2:4">
      <c r="B45" s="6">
        <f t="shared" si="1"/>
        <v>55</v>
      </c>
      <c r="C45" s="276">
        <f t="shared" si="3"/>
        <v>0.71895424836601407</v>
      </c>
      <c r="D45" s="276">
        <f t="shared" si="2"/>
        <v>0.71895424836601307</v>
      </c>
    </row>
    <row r="46" spans="2:4">
      <c r="B46" s="6">
        <f t="shared" si="1"/>
        <v>54.5</v>
      </c>
      <c r="C46" s="276">
        <f t="shared" si="3"/>
        <v>0.71241830065359579</v>
      </c>
      <c r="D46" s="276">
        <f t="shared" si="2"/>
        <v>0.71241830065359479</v>
      </c>
    </row>
    <row r="47" spans="2:4">
      <c r="B47" s="6">
        <f t="shared" si="1"/>
        <v>54</v>
      </c>
      <c r="C47" s="276">
        <f t="shared" si="3"/>
        <v>0.70588235294117752</v>
      </c>
      <c r="D47" s="276">
        <f t="shared" si="2"/>
        <v>0.70588235294117652</v>
      </c>
    </row>
    <row r="48" spans="2:4">
      <c r="B48" s="6">
        <f t="shared" si="1"/>
        <v>53.5</v>
      </c>
      <c r="C48" s="276">
        <f t="shared" si="3"/>
        <v>0.69934640522875924</v>
      </c>
      <c r="D48" s="276">
        <f t="shared" si="2"/>
        <v>0.69934640522875813</v>
      </c>
    </row>
    <row r="49" spans="2:4">
      <c r="B49" s="6">
        <f t="shared" si="1"/>
        <v>53</v>
      </c>
      <c r="C49" s="276">
        <f t="shared" si="3"/>
        <v>0.69281045751634096</v>
      </c>
      <c r="D49" s="276">
        <f t="shared" si="2"/>
        <v>0.69281045751633985</v>
      </c>
    </row>
    <row r="50" spans="2:4">
      <c r="B50" s="6">
        <f t="shared" si="1"/>
        <v>52.5</v>
      </c>
      <c r="C50" s="276">
        <f t="shared" si="3"/>
        <v>0.68627450980392268</v>
      </c>
      <c r="D50" s="276">
        <f t="shared" si="2"/>
        <v>0.68627450980392157</v>
      </c>
    </row>
    <row r="51" spans="2:4">
      <c r="B51" s="6">
        <f t="shared" si="1"/>
        <v>52</v>
      </c>
      <c r="C51" s="276">
        <f t="shared" si="3"/>
        <v>0.67973856209150441</v>
      </c>
      <c r="D51" s="276">
        <f t="shared" si="2"/>
        <v>0.6797385620915033</v>
      </c>
    </row>
    <row r="52" spans="2:4">
      <c r="B52" s="6">
        <f t="shared" si="1"/>
        <v>51.5</v>
      </c>
      <c r="C52" s="276">
        <f t="shared" si="3"/>
        <v>0.67320261437908613</v>
      </c>
      <c r="D52" s="276">
        <f t="shared" si="2"/>
        <v>0.67320261437908502</v>
      </c>
    </row>
    <row r="53" spans="2:4">
      <c r="B53" s="6">
        <f t="shared" si="1"/>
        <v>51</v>
      </c>
      <c r="C53" s="276">
        <f t="shared" si="3"/>
        <v>0.66666666666666785</v>
      </c>
      <c r="D53" s="276">
        <f t="shared" si="2"/>
        <v>0.66666666666666663</v>
      </c>
    </row>
    <row r="54" spans="2:4">
      <c r="B54" s="6">
        <f t="shared" si="1"/>
        <v>50.5</v>
      </c>
      <c r="C54" s="276">
        <f t="shared" si="3"/>
        <v>0.66013071895424957</v>
      </c>
      <c r="D54" s="276">
        <f t="shared" si="2"/>
        <v>0.66013071895424835</v>
      </c>
    </row>
    <row r="55" spans="2:4">
      <c r="B55" s="6">
        <f t="shared" si="1"/>
        <v>50</v>
      </c>
      <c r="C55" s="276">
        <f t="shared" si="3"/>
        <v>0.6535947712418313</v>
      </c>
      <c r="D55" s="276">
        <f t="shared" si="2"/>
        <v>0.65359477124183007</v>
      </c>
    </row>
    <row r="56" spans="2:4">
      <c r="B56" s="6">
        <f t="shared" si="1"/>
        <v>49.5</v>
      </c>
      <c r="C56" s="276">
        <f t="shared" si="3"/>
        <v>0.64705882352941302</v>
      </c>
      <c r="D56" s="276">
        <f t="shared" si="2"/>
        <v>0.6470588235294118</v>
      </c>
    </row>
    <row r="57" spans="2:4">
      <c r="B57" s="6">
        <f t="shared" si="1"/>
        <v>49</v>
      </c>
      <c r="C57" s="276">
        <f t="shared" si="3"/>
        <v>0.64052287581699474</v>
      </c>
      <c r="D57" s="276">
        <f t="shared" si="2"/>
        <v>0.64052287581699341</v>
      </c>
    </row>
    <row r="58" spans="2:4">
      <c r="B58" s="6">
        <f t="shared" si="1"/>
        <v>48.5</v>
      </c>
      <c r="C58" s="276">
        <f t="shared" si="3"/>
        <v>0.63398692810457646</v>
      </c>
      <c r="D58" s="276">
        <f t="shared" si="2"/>
        <v>0.63398692810457513</v>
      </c>
    </row>
    <row r="59" spans="2:4">
      <c r="B59" s="6">
        <f t="shared" si="1"/>
        <v>48</v>
      </c>
      <c r="C59" s="276">
        <f t="shared" si="3"/>
        <v>0.62745098039215819</v>
      </c>
      <c r="D59" s="276">
        <f t="shared" si="2"/>
        <v>0.62745098039215685</v>
      </c>
    </row>
    <row r="60" spans="2:4">
      <c r="B60" s="6">
        <f t="shared" si="1"/>
        <v>47.5</v>
      </c>
      <c r="C60" s="276">
        <f t="shared" si="3"/>
        <v>0.62091503267973991</v>
      </c>
      <c r="D60" s="276">
        <f t="shared" si="2"/>
        <v>0.62091503267973858</v>
      </c>
    </row>
    <row r="61" spans="2:4">
      <c r="B61" s="6">
        <f t="shared" si="1"/>
        <v>47</v>
      </c>
      <c r="C61" s="276">
        <f t="shared" si="3"/>
        <v>0.61437908496732163</v>
      </c>
      <c r="D61" s="276">
        <f t="shared" si="2"/>
        <v>0.6143790849673203</v>
      </c>
    </row>
    <row r="62" spans="2:4">
      <c r="B62" s="6">
        <f t="shared" si="1"/>
        <v>46.5</v>
      </c>
      <c r="C62" s="276">
        <f t="shared" si="3"/>
        <v>0.60784313725490335</v>
      </c>
      <c r="D62" s="276">
        <f t="shared" si="2"/>
        <v>0.60784313725490191</v>
      </c>
    </row>
    <row r="63" spans="2:4">
      <c r="B63" s="6">
        <f t="shared" si="1"/>
        <v>46</v>
      </c>
      <c r="C63" s="276">
        <f t="shared" si="3"/>
        <v>0.60130718954248508</v>
      </c>
      <c r="D63" s="276">
        <f t="shared" si="2"/>
        <v>0.60130718954248363</v>
      </c>
    </row>
    <row r="64" spans="2:4">
      <c r="B64" s="6">
        <f t="shared" si="1"/>
        <v>45.5</v>
      </c>
      <c r="C64" s="276">
        <f t="shared" si="3"/>
        <v>0.5947712418300668</v>
      </c>
      <c r="D64" s="276">
        <f t="shared" si="2"/>
        <v>0.59477124183006536</v>
      </c>
    </row>
    <row r="65" spans="2:4">
      <c r="B65" s="6">
        <f t="shared" si="1"/>
        <v>45</v>
      </c>
      <c r="C65" s="276">
        <f t="shared" si="3"/>
        <v>0.58823529411764852</v>
      </c>
      <c r="D65" s="276">
        <f t="shared" si="2"/>
        <v>0.58823529411764708</v>
      </c>
    </row>
    <row r="66" spans="2:4">
      <c r="B66" s="6">
        <f t="shared" si="1"/>
        <v>44.5</v>
      </c>
      <c r="C66" s="276">
        <f t="shared" si="3"/>
        <v>0.58169934640523024</v>
      </c>
      <c r="D66" s="276">
        <f t="shared" si="2"/>
        <v>0.5816993464052288</v>
      </c>
    </row>
    <row r="67" spans="2:4">
      <c r="B67" s="6">
        <f t="shared" si="1"/>
        <v>44</v>
      </c>
      <c r="C67" s="276">
        <f t="shared" si="3"/>
        <v>0.57516339869281197</v>
      </c>
      <c r="D67" s="276">
        <f t="shared" si="2"/>
        <v>0.57516339869281041</v>
      </c>
    </row>
    <row r="68" spans="2:4">
      <c r="B68" s="6">
        <f t="shared" ref="B68:B113" si="4">B67-0.5</f>
        <v>43.5</v>
      </c>
      <c r="C68" s="276">
        <f t="shared" ref="C68:C113" si="5">(B68*C67)/B67</f>
        <v>0.56862745098039369</v>
      </c>
      <c r="D68" s="276">
        <f t="shared" ref="D68:D113" si="6">B68*$D$2/$B$2</f>
        <v>0.56862745098039214</v>
      </c>
    </row>
    <row r="69" spans="2:4">
      <c r="B69" s="6">
        <f t="shared" si="4"/>
        <v>43</v>
      </c>
      <c r="C69" s="276">
        <f t="shared" si="5"/>
        <v>0.56209150326797541</v>
      </c>
      <c r="D69" s="276">
        <f t="shared" si="6"/>
        <v>0.56209150326797386</v>
      </c>
    </row>
    <row r="70" spans="2:4">
      <c r="B70" s="6">
        <f t="shared" si="4"/>
        <v>42.5</v>
      </c>
      <c r="C70" s="276">
        <f t="shared" si="5"/>
        <v>0.55555555555555713</v>
      </c>
      <c r="D70" s="276">
        <f t="shared" si="6"/>
        <v>0.55555555555555558</v>
      </c>
    </row>
    <row r="71" spans="2:4">
      <c r="B71" s="6">
        <f t="shared" si="4"/>
        <v>42</v>
      </c>
      <c r="C71" s="276">
        <f t="shared" si="5"/>
        <v>0.54901960784313886</v>
      </c>
      <c r="D71" s="276">
        <f t="shared" si="6"/>
        <v>0.5490196078431373</v>
      </c>
    </row>
    <row r="72" spans="2:4">
      <c r="B72" s="6">
        <f t="shared" si="4"/>
        <v>41.5</v>
      </c>
      <c r="C72" s="276">
        <f t="shared" si="5"/>
        <v>0.54248366013072058</v>
      </c>
      <c r="D72" s="276">
        <f t="shared" si="6"/>
        <v>0.54248366013071891</v>
      </c>
    </row>
    <row r="73" spans="2:4">
      <c r="B73" s="6">
        <f t="shared" si="4"/>
        <v>41</v>
      </c>
      <c r="C73" s="276">
        <f t="shared" si="5"/>
        <v>0.5359477124183023</v>
      </c>
      <c r="D73" s="276">
        <f t="shared" si="6"/>
        <v>0.53594771241830064</v>
      </c>
    </row>
    <row r="74" spans="2:4">
      <c r="B74" s="6">
        <f t="shared" si="4"/>
        <v>40.5</v>
      </c>
      <c r="C74" s="276">
        <f t="shared" si="5"/>
        <v>0.52941176470588402</v>
      </c>
      <c r="D74" s="276">
        <f t="shared" si="6"/>
        <v>0.52941176470588236</v>
      </c>
    </row>
    <row r="75" spans="2:4">
      <c r="B75" s="6">
        <f t="shared" si="4"/>
        <v>40</v>
      </c>
      <c r="C75" s="276">
        <f t="shared" si="5"/>
        <v>0.52287581699346575</v>
      </c>
      <c r="D75" s="276">
        <f t="shared" si="6"/>
        <v>0.52287581699346408</v>
      </c>
    </row>
    <row r="76" spans="2:4">
      <c r="B76" s="6">
        <f t="shared" si="4"/>
        <v>39.5</v>
      </c>
      <c r="C76" s="276">
        <f t="shared" si="5"/>
        <v>0.51633986928104747</v>
      </c>
      <c r="D76" s="276">
        <f t="shared" si="6"/>
        <v>0.5163398692810458</v>
      </c>
    </row>
    <row r="77" spans="2:4">
      <c r="B77" s="6">
        <f t="shared" si="4"/>
        <v>39</v>
      </c>
      <c r="C77" s="276">
        <f t="shared" si="5"/>
        <v>0.50980392156862919</v>
      </c>
      <c r="D77" s="276">
        <f t="shared" si="6"/>
        <v>0.50980392156862742</v>
      </c>
    </row>
    <row r="78" spans="2:4">
      <c r="B78" s="6">
        <f t="shared" si="4"/>
        <v>38.5</v>
      </c>
      <c r="C78" s="276">
        <f t="shared" si="5"/>
        <v>0.50326797385621092</v>
      </c>
      <c r="D78" s="276">
        <f t="shared" si="6"/>
        <v>0.50326797385620914</v>
      </c>
    </row>
    <row r="79" spans="2:4">
      <c r="B79" s="6">
        <f t="shared" si="4"/>
        <v>38</v>
      </c>
      <c r="C79" s="276">
        <f t="shared" si="5"/>
        <v>0.49673202614379258</v>
      </c>
      <c r="D79" s="276">
        <f t="shared" si="6"/>
        <v>0.49673202614379086</v>
      </c>
    </row>
    <row r="80" spans="2:4">
      <c r="B80" s="6">
        <f t="shared" si="4"/>
        <v>37.5</v>
      </c>
      <c r="C80" s="276">
        <f t="shared" si="5"/>
        <v>0.49019607843137425</v>
      </c>
      <c r="D80" s="276">
        <f t="shared" si="6"/>
        <v>0.49019607843137253</v>
      </c>
    </row>
    <row r="81" spans="2:4">
      <c r="B81" s="6">
        <f t="shared" si="4"/>
        <v>37</v>
      </c>
      <c r="C81" s="276">
        <f t="shared" si="5"/>
        <v>0.48366013071895592</v>
      </c>
      <c r="D81" s="276">
        <f t="shared" si="6"/>
        <v>0.48366013071895425</v>
      </c>
    </row>
    <row r="82" spans="2:4">
      <c r="B82" s="6">
        <f t="shared" si="4"/>
        <v>36.5</v>
      </c>
      <c r="C82" s="276">
        <f t="shared" si="5"/>
        <v>0.47712418300653764</v>
      </c>
      <c r="D82" s="276">
        <f t="shared" si="6"/>
        <v>0.47712418300653597</v>
      </c>
    </row>
    <row r="83" spans="2:4">
      <c r="B83" s="6">
        <f t="shared" si="4"/>
        <v>36</v>
      </c>
      <c r="C83" s="276">
        <f t="shared" si="5"/>
        <v>0.47058823529411931</v>
      </c>
      <c r="D83" s="276">
        <f t="shared" si="6"/>
        <v>0.47058823529411764</v>
      </c>
    </row>
    <row r="84" spans="2:4">
      <c r="B84" s="6">
        <f t="shared" si="4"/>
        <v>35.5</v>
      </c>
      <c r="C84" s="276">
        <f t="shared" si="5"/>
        <v>0.46405228758170097</v>
      </c>
      <c r="D84" s="276">
        <f t="shared" si="6"/>
        <v>0.46405228758169936</v>
      </c>
    </row>
    <row r="85" spans="2:4">
      <c r="B85" s="6">
        <f t="shared" si="4"/>
        <v>35</v>
      </c>
      <c r="C85" s="276">
        <f t="shared" si="5"/>
        <v>0.45751633986928264</v>
      </c>
      <c r="D85" s="276">
        <f t="shared" si="6"/>
        <v>0.45751633986928103</v>
      </c>
    </row>
    <row r="86" spans="2:4">
      <c r="B86" s="6">
        <f t="shared" si="4"/>
        <v>34.5</v>
      </c>
      <c r="C86" s="276">
        <f t="shared" si="5"/>
        <v>0.45098039215686436</v>
      </c>
      <c r="D86" s="276">
        <f t="shared" si="6"/>
        <v>0.45098039215686275</v>
      </c>
    </row>
    <row r="87" spans="2:4">
      <c r="B87" s="6">
        <f t="shared" si="4"/>
        <v>34</v>
      </c>
      <c r="C87" s="276">
        <f t="shared" si="5"/>
        <v>0.44444444444444609</v>
      </c>
      <c r="D87" s="276">
        <f t="shared" si="6"/>
        <v>0.44444444444444442</v>
      </c>
    </row>
    <row r="88" spans="2:4">
      <c r="B88" s="6">
        <f t="shared" si="4"/>
        <v>33.5</v>
      </c>
      <c r="C88" s="276">
        <f t="shared" si="5"/>
        <v>0.43790849673202775</v>
      </c>
      <c r="D88" s="276">
        <f t="shared" si="6"/>
        <v>0.43790849673202614</v>
      </c>
    </row>
    <row r="89" spans="2:4">
      <c r="B89" s="6">
        <f t="shared" si="4"/>
        <v>33</v>
      </c>
      <c r="C89" s="276">
        <f t="shared" si="5"/>
        <v>0.43137254901960942</v>
      </c>
      <c r="D89" s="276">
        <f t="shared" si="6"/>
        <v>0.43137254901960786</v>
      </c>
    </row>
    <row r="90" spans="2:4">
      <c r="B90" s="6">
        <f t="shared" si="4"/>
        <v>32.5</v>
      </c>
      <c r="C90" s="276">
        <f t="shared" si="5"/>
        <v>0.42483660130719109</v>
      </c>
      <c r="D90" s="276">
        <f t="shared" si="6"/>
        <v>0.42483660130718953</v>
      </c>
    </row>
    <row r="91" spans="2:4">
      <c r="B91" s="6">
        <f t="shared" si="4"/>
        <v>32</v>
      </c>
      <c r="C91" s="276">
        <f t="shared" si="5"/>
        <v>0.41830065359477275</v>
      </c>
      <c r="D91" s="276">
        <f t="shared" si="6"/>
        <v>0.41830065359477125</v>
      </c>
    </row>
    <row r="92" spans="2:4">
      <c r="B92" s="6">
        <f t="shared" si="4"/>
        <v>31.5</v>
      </c>
      <c r="C92" s="276">
        <f t="shared" si="5"/>
        <v>0.41176470588235442</v>
      </c>
      <c r="D92" s="276">
        <f t="shared" si="6"/>
        <v>0.41176470588235292</v>
      </c>
    </row>
    <row r="93" spans="2:4">
      <c r="B93" s="6">
        <f t="shared" si="4"/>
        <v>31</v>
      </c>
      <c r="C93" s="276">
        <f t="shared" si="5"/>
        <v>0.40522875816993609</v>
      </c>
      <c r="D93" s="276">
        <f t="shared" si="6"/>
        <v>0.40522875816993464</v>
      </c>
    </row>
    <row r="94" spans="2:4">
      <c r="B94" s="6">
        <f t="shared" si="4"/>
        <v>30.5</v>
      </c>
      <c r="C94" s="276">
        <f t="shared" si="5"/>
        <v>0.39869281045751781</v>
      </c>
      <c r="D94" s="276">
        <f t="shared" si="6"/>
        <v>0.39869281045751637</v>
      </c>
    </row>
    <row r="95" spans="2:4">
      <c r="B95" s="6">
        <f t="shared" si="4"/>
        <v>30</v>
      </c>
      <c r="C95" s="276">
        <f t="shared" si="5"/>
        <v>0.39215686274509948</v>
      </c>
      <c r="D95" s="276">
        <f t="shared" si="6"/>
        <v>0.39215686274509803</v>
      </c>
    </row>
    <row r="96" spans="2:4">
      <c r="B96" s="6">
        <f t="shared" si="4"/>
        <v>29.5</v>
      </c>
      <c r="C96" s="276">
        <f t="shared" si="5"/>
        <v>0.38562091503268114</v>
      </c>
      <c r="D96" s="276">
        <f t="shared" si="6"/>
        <v>0.38562091503267976</v>
      </c>
    </row>
    <row r="97" spans="2:4">
      <c r="B97" s="6">
        <f t="shared" si="4"/>
        <v>29</v>
      </c>
      <c r="C97" s="276">
        <f t="shared" si="5"/>
        <v>0.37908496732026281</v>
      </c>
      <c r="D97" s="276">
        <f t="shared" si="6"/>
        <v>0.37908496732026142</v>
      </c>
    </row>
    <row r="98" spans="2:4">
      <c r="B98" s="6">
        <f t="shared" si="4"/>
        <v>28.5</v>
      </c>
      <c r="C98" s="276">
        <f t="shared" si="5"/>
        <v>0.37254901960784453</v>
      </c>
      <c r="D98" s="276">
        <f t="shared" si="6"/>
        <v>0.37254901960784315</v>
      </c>
    </row>
    <row r="99" spans="2:4">
      <c r="B99" s="6">
        <f t="shared" si="4"/>
        <v>28</v>
      </c>
      <c r="C99" s="276">
        <f t="shared" si="5"/>
        <v>0.3660130718954262</v>
      </c>
      <c r="D99" s="276">
        <f t="shared" si="6"/>
        <v>0.36601307189542481</v>
      </c>
    </row>
    <row r="100" spans="2:4">
      <c r="B100" s="6">
        <f t="shared" si="4"/>
        <v>27.5</v>
      </c>
      <c r="C100" s="276">
        <f t="shared" si="5"/>
        <v>0.35947712418300787</v>
      </c>
      <c r="D100" s="276">
        <f t="shared" si="6"/>
        <v>0.35947712418300654</v>
      </c>
    </row>
    <row r="101" spans="2:4">
      <c r="B101" s="6">
        <f t="shared" si="4"/>
        <v>27</v>
      </c>
      <c r="C101" s="276">
        <f t="shared" si="5"/>
        <v>0.35294117647058959</v>
      </c>
      <c r="D101" s="276">
        <f t="shared" si="6"/>
        <v>0.35294117647058826</v>
      </c>
    </row>
    <row r="102" spans="2:4">
      <c r="B102" s="6">
        <f t="shared" si="4"/>
        <v>26.5</v>
      </c>
      <c r="C102" s="276">
        <f t="shared" si="5"/>
        <v>0.34640522875817126</v>
      </c>
      <c r="D102" s="276">
        <f t="shared" si="6"/>
        <v>0.34640522875816993</v>
      </c>
    </row>
    <row r="103" spans="2:4">
      <c r="B103" s="6">
        <f t="shared" si="4"/>
        <v>26</v>
      </c>
      <c r="C103" s="276">
        <f t="shared" si="5"/>
        <v>0.33986928104575292</v>
      </c>
      <c r="D103" s="276">
        <f t="shared" si="6"/>
        <v>0.33986928104575165</v>
      </c>
    </row>
    <row r="104" spans="2:4">
      <c r="B104" s="6">
        <f t="shared" si="4"/>
        <v>25.5</v>
      </c>
      <c r="C104" s="276">
        <f t="shared" si="5"/>
        <v>0.33333333333333459</v>
      </c>
      <c r="D104" s="276">
        <f t="shared" si="6"/>
        <v>0.33333333333333331</v>
      </c>
    </row>
    <row r="105" spans="2:4">
      <c r="B105" s="6">
        <f t="shared" si="4"/>
        <v>25</v>
      </c>
      <c r="C105" s="276">
        <f t="shared" si="5"/>
        <v>0.32679738562091626</v>
      </c>
      <c r="D105" s="276">
        <f t="shared" si="6"/>
        <v>0.32679738562091504</v>
      </c>
    </row>
    <row r="106" spans="2:4">
      <c r="B106" s="6">
        <f t="shared" si="4"/>
        <v>24.5</v>
      </c>
      <c r="C106" s="276">
        <f t="shared" si="5"/>
        <v>0.32026143790849793</v>
      </c>
      <c r="D106" s="276">
        <f t="shared" si="6"/>
        <v>0.3202614379084967</v>
      </c>
    </row>
    <row r="107" spans="2:4">
      <c r="B107" s="6">
        <f t="shared" si="4"/>
        <v>24</v>
      </c>
      <c r="C107" s="276">
        <f t="shared" si="5"/>
        <v>0.31372549019607959</v>
      </c>
      <c r="D107" s="276">
        <f t="shared" si="6"/>
        <v>0.31372549019607843</v>
      </c>
    </row>
    <row r="108" spans="2:4">
      <c r="B108" s="6">
        <f t="shared" si="4"/>
        <v>23.5</v>
      </c>
      <c r="C108" s="276">
        <f t="shared" si="5"/>
        <v>0.30718954248366126</v>
      </c>
      <c r="D108" s="276">
        <f t="shared" si="6"/>
        <v>0.30718954248366015</v>
      </c>
    </row>
    <row r="109" spans="2:4">
      <c r="B109" s="6">
        <f t="shared" si="4"/>
        <v>23</v>
      </c>
      <c r="C109" s="276">
        <f t="shared" si="5"/>
        <v>0.30065359477124293</v>
      </c>
      <c r="D109" s="276">
        <f t="shared" si="6"/>
        <v>0.30065359477124182</v>
      </c>
    </row>
    <row r="110" spans="2:4">
      <c r="B110" s="6">
        <f t="shared" si="4"/>
        <v>22.5</v>
      </c>
      <c r="C110" s="276">
        <f t="shared" si="5"/>
        <v>0.29411764705882459</v>
      </c>
      <c r="D110" s="276">
        <f t="shared" si="6"/>
        <v>0.29411764705882354</v>
      </c>
    </row>
    <row r="111" spans="2:4">
      <c r="B111" s="6">
        <f t="shared" si="4"/>
        <v>22</v>
      </c>
      <c r="C111" s="276">
        <f t="shared" si="5"/>
        <v>0.28758169934640626</v>
      </c>
      <c r="D111" s="276">
        <f t="shared" si="6"/>
        <v>0.28758169934640521</v>
      </c>
    </row>
    <row r="112" spans="2:4">
      <c r="B112" s="6">
        <f t="shared" si="4"/>
        <v>21.5</v>
      </c>
      <c r="C112" s="276">
        <f t="shared" si="5"/>
        <v>0.28104575163398793</v>
      </c>
      <c r="D112" s="276">
        <f t="shared" si="6"/>
        <v>0.28104575163398693</v>
      </c>
    </row>
    <row r="113" spans="2:4">
      <c r="B113" s="6">
        <f t="shared" si="4"/>
        <v>21</v>
      </c>
      <c r="C113" s="276">
        <f t="shared" si="5"/>
        <v>0.2745098039215696</v>
      </c>
      <c r="D113" s="276">
        <f t="shared" si="6"/>
        <v>0.27450980392156865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V119"/>
  <sheetViews>
    <sheetView zoomScale="115" zoomScaleNormal="115" workbookViewId="0">
      <selection activeCell="H97" sqref="H97:I97"/>
    </sheetView>
  </sheetViews>
  <sheetFormatPr defaultColWidth="0" defaultRowHeight="15" zeroHeight="1"/>
  <cols>
    <col min="1" max="1" width="4" style="9" customWidth="1"/>
    <col min="2" max="5" width="9.140625" style="9" customWidth="1"/>
    <col min="6" max="6" width="19.28515625" style="9" customWidth="1"/>
    <col min="7" max="7" width="15.7109375" style="9" bestFit="1" customWidth="1"/>
    <col min="8" max="8" width="9.140625" style="9" customWidth="1"/>
    <col min="9" max="9" width="22" style="9" customWidth="1"/>
    <col min="10" max="10" width="20.28515625" style="9" customWidth="1"/>
    <col min="11" max="11" width="0.140625" style="9" customWidth="1"/>
    <col min="12" max="12" width="10.5703125" style="9" bestFit="1" customWidth="1"/>
    <col min="13" max="13" width="20.140625" style="9" customWidth="1"/>
    <col min="14" max="14" width="13" style="9" bestFit="1" customWidth="1"/>
    <col min="15" max="15" width="10.5703125" style="9" bestFit="1" customWidth="1"/>
    <col min="16" max="16" width="10.140625" style="9" bestFit="1" customWidth="1"/>
    <col min="17" max="17" width="10" style="9" bestFit="1" customWidth="1"/>
    <col min="18" max="18" width="12.42578125" style="9" bestFit="1" customWidth="1"/>
    <col min="19" max="22" width="9.140625" style="9" customWidth="1"/>
    <col min="23" max="16384" width="9.140625" style="9" hidden="1"/>
  </cols>
  <sheetData>
    <row r="1" spans="2:19" ht="15.75" thickBot="1"/>
    <row r="2" spans="2:19">
      <c r="B2" s="417" t="s">
        <v>414</v>
      </c>
      <c r="C2" s="418"/>
      <c r="D2" s="418"/>
      <c r="E2" s="418"/>
      <c r="F2" s="418"/>
      <c r="G2" s="418"/>
      <c r="H2" s="418"/>
      <c r="I2" s="419"/>
      <c r="J2" s="420" t="s">
        <v>110</v>
      </c>
      <c r="K2" s="421"/>
      <c r="M2" s="10" t="s">
        <v>111</v>
      </c>
    </row>
    <row r="3" spans="2:19">
      <c r="B3" s="467" t="s">
        <v>571</v>
      </c>
      <c r="C3" s="468"/>
      <c r="D3" s="468"/>
      <c r="E3" s="468"/>
      <c r="F3" s="468"/>
      <c r="G3" s="468"/>
      <c r="H3" s="702" t="s">
        <v>569</v>
      </c>
      <c r="I3" s="703"/>
      <c r="J3" s="422"/>
      <c r="K3" s="423"/>
      <c r="M3" s="10"/>
    </row>
    <row r="4" spans="2:19" ht="23.25" customHeight="1">
      <c r="B4" s="471" t="s">
        <v>572</v>
      </c>
      <c r="C4" s="472"/>
      <c r="D4" s="472"/>
      <c r="E4" s="472"/>
      <c r="F4" s="472"/>
      <c r="G4" s="472"/>
      <c r="H4" s="472"/>
      <c r="I4" s="473"/>
      <c r="J4" s="422"/>
      <c r="K4" s="423"/>
      <c r="M4" s="10"/>
    </row>
    <row r="5" spans="2:19">
      <c r="B5" s="426" t="s">
        <v>112</v>
      </c>
      <c r="C5" s="427"/>
      <c r="D5" s="427"/>
      <c r="E5" s="427"/>
      <c r="F5" s="428"/>
      <c r="G5" s="11" t="s">
        <v>113</v>
      </c>
      <c r="H5" s="429" t="s">
        <v>114</v>
      </c>
      <c r="I5" s="430"/>
      <c r="J5" s="424"/>
      <c r="K5" s="425"/>
      <c r="M5" s="9" t="s">
        <v>115</v>
      </c>
    </row>
    <row r="6" spans="2:19">
      <c r="B6" s="431" t="s">
        <v>415</v>
      </c>
      <c r="C6" s="432"/>
      <c r="D6" s="432"/>
      <c r="E6" s="432"/>
      <c r="F6" s="433"/>
      <c r="G6" s="220">
        <v>1</v>
      </c>
      <c r="H6" s="434">
        <v>1066.3599999999999</v>
      </c>
      <c r="I6" s="435"/>
      <c r="J6" s="436">
        <f>G6*H6</f>
        <v>1066.3599999999999</v>
      </c>
      <c r="K6" s="437"/>
    </row>
    <row r="7" spans="2:19">
      <c r="B7" s="457"/>
      <c r="C7" s="427"/>
      <c r="D7" s="427"/>
      <c r="E7" s="427"/>
      <c r="F7" s="428"/>
      <c r="G7" s="13"/>
      <c r="H7" s="455"/>
      <c r="I7" s="458"/>
      <c r="J7" s="436">
        <f t="shared" ref="J7" si="0">G7*H7</f>
        <v>0</v>
      </c>
      <c r="K7" s="437"/>
    </row>
    <row r="8" spans="2:19">
      <c r="B8" s="459" t="s">
        <v>116</v>
      </c>
      <c r="C8" s="460"/>
      <c r="D8" s="460"/>
      <c r="E8" s="460"/>
      <c r="F8" s="460"/>
      <c r="G8" s="460"/>
      <c r="H8" s="460"/>
      <c r="I8" s="461"/>
      <c r="J8" s="462">
        <f>SUM(J6:J7)</f>
        <v>1066.3599999999999</v>
      </c>
      <c r="K8" s="463"/>
    </row>
    <row r="9" spans="2:19">
      <c r="B9" s="464" t="s">
        <v>117</v>
      </c>
      <c r="C9" s="465"/>
      <c r="D9" s="465"/>
      <c r="E9" s="465"/>
      <c r="F9" s="465"/>
      <c r="G9" s="465"/>
      <c r="H9" s="465"/>
      <c r="I9" s="466"/>
      <c r="J9" s="462">
        <f>J8*12</f>
        <v>12796.32</v>
      </c>
      <c r="K9" s="463"/>
    </row>
    <row r="10" spans="2:19">
      <c r="B10" s="443" t="s">
        <v>118</v>
      </c>
      <c r="C10" s="444"/>
      <c r="D10" s="444"/>
      <c r="E10" s="444"/>
      <c r="F10" s="444"/>
      <c r="G10" s="444"/>
      <c r="H10" s="444"/>
      <c r="I10" s="444"/>
      <c r="J10" s="444"/>
      <c r="K10" s="445"/>
    </row>
    <row r="11" spans="2:19" ht="30" customHeight="1">
      <c r="B11" s="446" t="s">
        <v>119</v>
      </c>
      <c r="C11" s="447"/>
      <c r="D11" s="447"/>
      <c r="E11" s="447"/>
      <c r="F11" s="447"/>
      <c r="G11" s="447"/>
      <c r="H11" s="447"/>
      <c r="I11" s="447"/>
      <c r="J11" s="447"/>
      <c r="K11" s="448"/>
      <c r="M11" s="14"/>
    </row>
    <row r="12" spans="2:19">
      <c r="B12" s="15" t="s">
        <v>120</v>
      </c>
      <c r="C12" s="449" t="s">
        <v>121</v>
      </c>
      <c r="D12" s="427"/>
      <c r="E12" s="427"/>
      <c r="F12" s="427"/>
      <c r="G12" s="427"/>
      <c r="H12" s="427"/>
      <c r="I12" s="428"/>
      <c r="J12" s="450" t="s">
        <v>122</v>
      </c>
      <c r="K12" s="451"/>
    </row>
    <row r="13" spans="2:19">
      <c r="B13" s="16" t="s">
        <v>123</v>
      </c>
      <c r="C13" s="452" t="s">
        <v>124</v>
      </c>
      <c r="D13" s="453"/>
      <c r="E13" s="453"/>
      <c r="F13" s="453"/>
      <c r="G13" s="453"/>
      <c r="H13" s="453"/>
      <c r="I13" s="454"/>
      <c r="J13" s="455">
        <f>J8</f>
        <v>1066.3599999999999</v>
      </c>
      <c r="K13" s="456"/>
    </row>
    <row r="14" spans="2:19">
      <c r="B14" s="438" t="s">
        <v>126</v>
      </c>
      <c r="C14" s="439"/>
      <c r="D14" s="439"/>
      <c r="E14" s="439"/>
      <c r="F14" s="439"/>
      <c r="G14" s="439"/>
      <c r="H14" s="439"/>
      <c r="I14" s="440"/>
      <c r="J14" s="441">
        <f>SUM(J13:K13)</f>
        <v>1066.3599999999999</v>
      </c>
      <c r="K14" s="442"/>
      <c r="M14" s="470" t="s">
        <v>127</v>
      </c>
      <c r="N14" s="470"/>
      <c r="O14" s="470"/>
      <c r="P14" s="470"/>
      <c r="Q14" s="470"/>
      <c r="R14" s="470"/>
      <c r="S14" s="470"/>
    </row>
    <row r="15" spans="2:19" ht="39.75" customHeight="1">
      <c r="B15" s="446" t="s">
        <v>128</v>
      </c>
      <c r="C15" s="447"/>
      <c r="D15" s="447"/>
      <c r="E15" s="447"/>
      <c r="F15" s="447"/>
      <c r="G15" s="447"/>
      <c r="H15" s="447"/>
      <c r="I15" s="447"/>
      <c r="J15" s="447"/>
      <c r="K15" s="448"/>
      <c r="M15" s="469" t="s">
        <v>552</v>
      </c>
      <c r="N15" s="469" t="s">
        <v>129</v>
      </c>
      <c r="O15" s="469" t="s">
        <v>122</v>
      </c>
      <c r="P15" s="469" t="s">
        <v>130</v>
      </c>
      <c r="Q15" s="474" t="s">
        <v>131</v>
      </c>
      <c r="R15" s="469" t="s">
        <v>132</v>
      </c>
      <c r="S15" s="474" t="s">
        <v>133</v>
      </c>
    </row>
    <row r="16" spans="2:19">
      <c r="B16" s="15" t="s">
        <v>134</v>
      </c>
      <c r="C16" s="449" t="s">
        <v>135</v>
      </c>
      <c r="D16" s="427"/>
      <c r="E16" s="427"/>
      <c r="F16" s="428"/>
      <c r="G16" s="17" t="s">
        <v>113</v>
      </c>
      <c r="H16" s="449" t="s">
        <v>136</v>
      </c>
      <c r="I16" s="428"/>
      <c r="J16" s="449" t="s">
        <v>131</v>
      </c>
      <c r="K16" s="480"/>
      <c r="M16" s="469"/>
      <c r="N16" s="469"/>
      <c r="O16" s="469"/>
      <c r="P16" s="469"/>
      <c r="Q16" s="474"/>
      <c r="R16" s="474"/>
      <c r="S16" s="474"/>
    </row>
    <row r="17" spans="2:19" ht="52.5" customHeight="1">
      <c r="B17" s="16" t="s">
        <v>123</v>
      </c>
      <c r="C17" s="481" t="s">
        <v>551</v>
      </c>
      <c r="D17" s="482"/>
      <c r="E17" s="482"/>
      <c r="F17" s="483"/>
      <c r="G17" s="302">
        <f>+G6</f>
        <v>1</v>
      </c>
      <c r="H17" s="484">
        <f>+S17</f>
        <v>89.618400000000037</v>
      </c>
      <c r="I17" s="485"/>
      <c r="J17" s="484">
        <f t="shared" ref="J17:J20" si="1">H17*G17</f>
        <v>89.618400000000037</v>
      </c>
      <c r="K17" s="486"/>
      <c r="M17" s="317" t="s">
        <v>553</v>
      </c>
      <c r="N17" s="318">
        <v>24</v>
      </c>
      <c r="O17" s="319">
        <v>3.2</v>
      </c>
      <c r="P17" s="18">
        <f>+O17*2</f>
        <v>6.4</v>
      </c>
      <c r="Q17" s="19">
        <f>(N17*P17)</f>
        <v>153.60000000000002</v>
      </c>
      <c r="R17" s="20">
        <f>IF(N17&gt;0,(-H6*0.06),0)</f>
        <v>-63.981599999999993</v>
      </c>
      <c r="S17" s="21">
        <f>SUM(Q17:R17)</f>
        <v>89.618400000000037</v>
      </c>
    </row>
    <row r="18" spans="2:19">
      <c r="B18" s="16" t="s">
        <v>11</v>
      </c>
      <c r="C18" s="481" t="s">
        <v>138</v>
      </c>
      <c r="D18" s="447"/>
      <c r="E18" s="447"/>
      <c r="F18" s="487"/>
      <c r="G18" s="302">
        <f>G17</f>
        <v>1</v>
      </c>
      <c r="H18" s="478">
        <f>+Q18</f>
        <v>169.92000000000002</v>
      </c>
      <c r="I18" s="479"/>
      <c r="J18" s="436">
        <f t="shared" si="1"/>
        <v>169.92000000000002</v>
      </c>
      <c r="K18" s="437"/>
      <c r="M18" s="318" t="s">
        <v>554</v>
      </c>
      <c r="N18" s="318">
        <v>24</v>
      </c>
      <c r="O18" s="319">
        <v>7.08</v>
      </c>
      <c r="P18" s="300"/>
      <c r="Q18" s="22">
        <f>+N18*O18</f>
        <v>169.92000000000002</v>
      </c>
    </row>
    <row r="19" spans="2:19">
      <c r="B19" s="16" t="s">
        <v>125</v>
      </c>
      <c r="C19" s="475" t="s">
        <v>556</v>
      </c>
      <c r="D19" s="476"/>
      <c r="E19" s="476"/>
      <c r="F19" s="477"/>
      <c r="G19" s="302">
        <f t="shared" ref="G19" si="2">G18</f>
        <v>1</v>
      </c>
      <c r="H19" s="478">
        <f>+Q19</f>
        <v>40.200000000000003</v>
      </c>
      <c r="I19" s="479"/>
      <c r="J19" s="436">
        <f>G19*H19</f>
        <v>40.200000000000003</v>
      </c>
      <c r="K19" s="437"/>
      <c r="M19" s="318" t="s">
        <v>556</v>
      </c>
      <c r="N19" s="318">
        <v>1</v>
      </c>
      <c r="O19" s="319">
        <v>40.200000000000003</v>
      </c>
      <c r="P19" s="300"/>
      <c r="Q19" s="22">
        <f>+N19*O19</f>
        <v>40.200000000000003</v>
      </c>
    </row>
    <row r="20" spans="2:19" ht="15" customHeight="1">
      <c r="B20" s="16" t="s">
        <v>139</v>
      </c>
      <c r="C20" s="475" t="s">
        <v>555</v>
      </c>
      <c r="D20" s="476"/>
      <c r="E20" s="476"/>
      <c r="F20" s="477"/>
      <c r="G20" s="318">
        <f>G19</f>
        <v>1</v>
      </c>
      <c r="H20" s="478">
        <f>+Q20</f>
        <v>100</v>
      </c>
      <c r="I20" s="479"/>
      <c r="J20" s="303">
        <f t="shared" si="1"/>
        <v>100</v>
      </c>
      <c r="K20" s="304"/>
      <c r="M20" s="318" t="s">
        <v>555</v>
      </c>
      <c r="N20" s="318">
        <v>1</v>
      </c>
      <c r="O20" s="319">
        <v>100</v>
      </c>
      <c r="P20" s="300"/>
      <c r="Q20" s="22">
        <f>+N20*O20</f>
        <v>100</v>
      </c>
    </row>
    <row r="21" spans="2:19">
      <c r="B21" s="438" t="s">
        <v>142</v>
      </c>
      <c r="C21" s="496"/>
      <c r="D21" s="496"/>
      <c r="E21" s="496"/>
      <c r="F21" s="496"/>
      <c r="G21" s="496"/>
      <c r="H21" s="496"/>
      <c r="I21" s="497"/>
      <c r="J21" s="441">
        <f>SUM(J17:J20)</f>
        <v>399.73840000000001</v>
      </c>
      <c r="K21" s="498"/>
    </row>
    <row r="22" spans="2:19" ht="30" customHeight="1">
      <c r="B22" s="446" t="s">
        <v>143</v>
      </c>
      <c r="C22" s="499"/>
      <c r="D22" s="499"/>
      <c r="E22" s="499"/>
      <c r="F22" s="499"/>
      <c r="G22" s="499"/>
      <c r="H22" s="499"/>
      <c r="I22" s="499"/>
      <c r="J22" s="499"/>
      <c r="K22" s="500"/>
    </row>
    <row r="23" spans="2:19">
      <c r="B23" s="16" t="s">
        <v>144</v>
      </c>
      <c r="C23" s="501" t="s">
        <v>145</v>
      </c>
      <c r="D23" s="489"/>
      <c r="E23" s="489"/>
      <c r="F23" s="489"/>
      <c r="G23" s="489"/>
      <c r="H23" s="489"/>
      <c r="I23" s="490"/>
      <c r="J23" s="449" t="s">
        <v>131</v>
      </c>
      <c r="K23" s="480"/>
    </row>
    <row r="24" spans="2:19">
      <c r="B24" s="16" t="s">
        <v>123</v>
      </c>
      <c r="C24" s="488" t="s">
        <v>146</v>
      </c>
      <c r="D24" s="489"/>
      <c r="E24" s="489"/>
      <c r="F24" s="489"/>
      <c r="G24" s="489"/>
      <c r="H24" s="489"/>
      <c r="I24" s="490"/>
      <c r="J24" s="491">
        <v>0</v>
      </c>
      <c r="K24" s="492"/>
    </row>
    <row r="25" spans="2:19">
      <c r="B25" s="16" t="s">
        <v>11</v>
      </c>
      <c r="C25" s="488" t="s">
        <v>574</v>
      </c>
      <c r="D25" s="489"/>
      <c r="E25" s="489"/>
      <c r="F25" s="489"/>
      <c r="G25" s="489"/>
      <c r="H25" s="489"/>
      <c r="I25" s="490"/>
      <c r="J25" s="478">
        <v>10</v>
      </c>
      <c r="K25" s="643"/>
    </row>
    <row r="26" spans="2:19">
      <c r="B26" s="305" t="s">
        <v>125</v>
      </c>
      <c r="C26" s="493" t="s">
        <v>147</v>
      </c>
      <c r="D26" s="494"/>
      <c r="E26" s="494"/>
      <c r="F26" s="494"/>
      <c r="G26" s="494"/>
      <c r="H26" s="494"/>
      <c r="I26" s="495"/>
      <c r="J26" s="491">
        <v>0</v>
      </c>
      <c r="K26" s="492"/>
    </row>
    <row r="27" spans="2:19">
      <c r="B27" s="305" t="s">
        <v>139</v>
      </c>
      <c r="C27" s="493" t="s">
        <v>147</v>
      </c>
      <c r="D27" s="494"/>
      <c r="E27" s="494"/>
      <c r="F27" s="494"/>
      <c r="G27" s="494"/>
      <c r="H27" s="494"/>
      <c r="I27" s="495"/>
      <c r="J27" s="491">
        <v>0</v>
      </c>
      <c r="K27" s="492"/>
    </row>
    <row r="28" spans="2:19">
      <c r="B28" s="438" t="s">
        <v>148</v>
      </c>
      <c r="C28" s="496"/>
      <c r="D28" s="496"/>
      <c r="E28" s="496"/>
      <c r="F28" s="496"/>
      <c r="G28" s="496"/>
      <c r="H28" s="496"/>
      <c r="I28" s="497"/>
      <c r="J28" s="441">
        <f>SUM(J24:K27)</f>
        <v>10</v>
      </c>
      <c r="K28" s="498"/>
    </row>
    <row r="29" spans="2:19" ht="51" customHeight="1">
      <c r="B29" s="446" t="s">
        <v>149</v>
      </c>
      <c r="C29" s="447"/>
      <c r="D29" s="447"/>
      <c r="E29" s="447"/>
      <c r="F29" s="447"/>
      <c r="G29" s="447"/>
      <c r="H29" s="447"/>
      <c r="I29" s="447"/>
      <c r="J29" s="447"/>
      <c r="K29" s="448"/>
    </row>
    <row r="30" spans="2:19">
      <c r="B30" s="505" t="s">
        <v>573</v>
      </c>
      <c r="C30" s="506"/>
      <c r="D30" s="506"/>
      <c r="E30" s="506"/>
      <c r="F30" s="506"/>
      <c r="G30" s="506"/>
      <c r="H30" s="506"/>
      <c r="I30" s="506"/>
      <c r="J30" s="506"/>
      <c r="K30" s="403"/>
    </row>
    <row r="31" spans="2:19">
      <c r="B31" s="24" t="s">
        <v>150</v>
      </c>
      <c r="C31" s="449" t="s">
        <v>151</v>
      </c>
      <c r="D31" s="427"/>
      <c r="E31" s="427"/>
      <c r="F31" s="427"/>
      <c r="G31" s="428"/>
      <c r="H31" s="504">
        <f>H40</f>
        <v>0.3680000000000001</v>
      </c>
      <c r="I31" s="428"/>
      <c r="J31" s="449" t="s">
        <v>122</v>
      </c>
      <c r="K31" s="480"/>
    </row>
    <row r="32" spans="2:19">
      <c r="B32" s="25" t="s">
        <v>123</v>
      </c>
      <c r="C32" s="488" t="s">
        <v>152</v>
      </c>
      <c r="D32" s="489"/>
      <c r="E32" s="489"/>
      <c r="F32" s="489"/>
      <c r="G32" s="490"/>
      <c r="H32" s="707">
        <v>0.2</v>
      </c>
      <c r="I32" s="708"/>
      <c r="J32" s="436">
        <f>H32*J13</f>
        <v>213.27199999999999</v>
      </c>
      <c r="K32" s="437"/>
    </row>
    <row r="33" spans="2:22">
      <c r="B33" s="305" t="s">
        <v>11</v>
      </c>
      <c r="C33" s="488" t="s">
        <v>153</v>
      </c>
      <c r="D33" s="489"/>
      <c r="E33" s="489"/>
      <c r="F33" s="489"/>
      <c r="G33" s="490"/>
      <c r="H33" s="707">
        <v>1.4999999999999999E-2</v>
      </c>
      <c r="I33" s="708"/>
      <c r="J33" s="436">
        <f>H33*J13</f>
        <v>15.995399999999998</v>
      </c>
      <c r="K33" s="437"/>
    </row>
    <row r="34" spans="2:22">
      <c r="B34" s="305" t="s">
        <v>125</v>
      </c>
      <c r="C34" s="488" t="s">
        <v>154</v>
      </c>
      <c r="D34" s="489"/>
      <c r="E34" s="489"/>
      <c r="F34" s="489"/>
      <c r="G34" s="490"/>
      <c r="H34" s="707">
        <v>0.01</v>
      </c>
      <c r="I34" s="708"/>
      <c r="J34" s="436">
        <f>H34*J13</f>
        <v>10.663599999999999</v>
      </c>
      <c r="K34" s="437"/>
    </row>
    <row r="35" spans="2:22">
      <c r="B35" s="305" t="s">
        <v>139</v>
      </c>
      <c r="C35" s="488" t="s">
        <v>155</v>
      </c>
      <c r="D35" s="489"/>
      <c r="E35" s="489"/>
      <c r="F35" s="489"/>
      <c r="G35" s="490"/>
      <c r="H35" s="707">
        <v>2E-3</v>
      </c>
      <c r="I35" s="708"/>
      <c r="J35" s="436">
        <f>H35*J13</f>
        <v>2.1327199999999999</v>
      </c>
      <c r="K35" s="437"/>
      <c r="V35" s="9" t="s">
        <v>568</v>
      </c>
    </row>
    <row r="36" spans="2:22">
      <c r="B36" s="305" t="s">
        <v>140</v>
      </c>
      <c r="C36" s="488" t="s">
        <v>156</v>
      </c>
      <c r="D36" s="489"/>
      <c r="E36" s="489"/>
      <c r="F36" s="489"/>
      <c r="G36" s="490"/>
      <c r="H36" s="707">
        <v>2.5000000000000001E-2</v>
      </c>
      <c r="I36" s="708"/>
      <c r="J36" s="436">
        <f>H36*J13</f>
        <v>26.658999999999999</v>
      </c>
      <c r="K36" s="437"/>
      <c r="V36" s="9" t="s">
        <v>569</v>
      </c>
    </row>
    <row r="37" spans="2:22">
      <c r="B37" s="305" t="s">
        <v>141</v>
      </c>
      <c r="C37" s="488" t="s">
        <v>157</v>
      </c>
      <c r="D37" s="489"/>
      <c r="E37" s="489"/>
      <c r="F37" s="489"/>
      <c r="G37" s="490"/>
      <c r="H37" s="707">
        <v>0.08</v>
      </c>
      <c r="I37" s="708"/>
      <c r="J37" s="436">
        <f>H37*J13</f>
        <v>85.308799999999991</v>
      </c>
      <c r="K37" s="437"/>
      <c r="V37" s="9" t="s">
        <v>570</v>
      </c>
    </row>
    <row r="38" spans="2:22">
      <c r="B38" s="305" t="s">
        <v>158</v>
      </c>
      <c r="C38" s="488" t="s">
        <v>159</v>
      </c>
      <c r="D38" s="489"/>
      <c r="E38" s="489"/>
      <c r="F38" s="489"/>
      <c r="G38" s="490"/>
      <c r="H38" s="502">
        <v>0.03</v>
      </c>
      <c r="I38" s="503"/>
      <c r="J38" s="436">
        <f>H38*J13</f>
        <v>31.990799999999997</v>
      </c>
      <c r="K38" s="437"/>
    </row>
    <row r="39" spans="2:22">
      <c r="B39" s="305" t="s">
        <v>160</v>
      </c>
      <c r="C39" s="488" t="s">
        <v>161</v>
      </c>
      <c r="D39" s="489"/>
      <c r="E39" s="489"/>
      <c r="F39" s="489"/>
      <c r="G39" s="490"/>
      <c r="H39" s="707">
        <v>6.0000000000000001E-3</v>
      </c>
      <c r="I39" s="708"/>
      <c r="J39" s="436">
        <f>H39*J13</f>
        <v>6.3981599999999998</v>
      </c>
      <c r="K39" s="437"/>
    </row>
    <row r="40" spans="2:22">
      <c r="B40" s="507" t="s">
        <v>162</v>
      </c>
      <c r="C40" s="465"/>
      <c r="D40" s="465"/>
      <c r="E40" s="465"/>
      <c r="F40" s="465"/>
      <c r="G40" s="466"/>
      <c r="H40" s="508">
        <f>SUM(H32:H39)</f>
        <v>0.3680000000000001</v>
      </c>
      <c r="I40" s="509"/>
      <c r="J40" s="462">
        <f>SUM(J32:J39)</f>
        <v>392.42048</v>
      </c>
      <c r="K40" s="510"/>
    </row>
    <row r="41" spans="2:22">
      <c r="B41" s="24" t="s">
        <v>163</v>
      </c>
      <c r="C41" s="449" t="s">
        <v>164</v>
      </c>
      <c r="D41" s="427"/>
      <c r="E41" s="427"/>
      <c r="F41" s="427"/>
      <c r="G41" s="428"/>
      <c r="H41" s="449" t="s">
        <v>165</v>
      </c>
      <c r="I41" s="428"/>
      <c r="J41" s="449" t="s">
        <v>122</v>
      </c>
      <c r="K41" s="480"/>
    </row>
    <row r="42" spans="2:22">
      <c r="B42" s="25" t="s">
        <v>123</v>
      </c>
      <c r="C42" s="488" t="s">
        <v>166</v>
      </c>
      <c r="D42" s="489"/>
      <c r="E42" s="489"/>
      <c r="F42" s="489"/>
      <c r="G42" s="490"/>
      <c r="H42" s="709">
        <v>8.3299999999999999E-2</v>
      </c>
      <c r="I42" s="710"/>
      <c r="J42" s="436">
        <f>H42*J13</f>
        <v>88.827787999999984</v>
      </c>
      <c r="K42" s="437"/>
    </row>
    <row r="43" spans="2:22">
      <c r="B43" s="16" t="s">
        <v>123</v>
      </c>
      <c r="C43" s="515" t="s">
        <v>167</v>
      </c>
      <c r="D43" s="516"/>
      <c r="E43" s="516"/>
      <c r="F43" s="516"/>
      <c r="G43" s="517"/>
      <c r="H43" s="711">
        <v>1.4E-2</v>
      </c>
      <c r="I43" s="712"/>
      <c r="J43" s="518">
        <f>H43*J14</f>
        <v>14.929039999999999</v>
      </c>
      <c r="K43" s="519"/>
    </row>
    <row r="44" spans="2:22">
      <c r="B44" s="507" t="s">
        <v>168</v>
      </c>
      <c r="C44" s="465"/>
      <c r="D44" s="465"/>
      <c r="E44" s="465"/>
      <c r="F44" s="465"/>
      <c r="G44" s="466"/>
      <c r="H44" s="511">
        <f>H42+H43</f>
        <v>9.7299999999999998E-2</v>
      </c>
      <c r="I44" s="512"/>
      <c r="J44" s="513">
        <f>J42+J43</f>
        <v>103.75682799999998</v>
      </c>
      <c r="K44" s="514"/>
    </row>
    <row r="45" spans="2:22">
      <c r="B45" s="24" t="s">
        <v>169</v>
      </c>
      <c r="C45" s="449" t="s">
        <v>164</v>
      </c>
      <c r="D45" s="427"/>
      <c r="E45" s="427"/>
      <c r="F45" s="427"/>
      <c r="G45" s="428"/>
      <c r="H45" s="449" t="s">
        <v>165</v>
      </c>
      <c r="I45" s="428"/>
      <c r="J45" s="449" t="s">
        <v>122</v>
      </c>
      <c r="K45" s="480"/>
    </row>
    <row r="46" spans="2:22">
      <c r="B46" s="25" t="s">
        <v>123</v>
      </c>
      <c r="C46" s="488" t="s">
        <v>170</v>
      </c>
      <c r="D46" s="489"/>
      <c r="E46" s="489"/>
      <c r="F46" s="489"/>
      <c r="G46" s="490"/>
      <c r="H46" s="707">
        <v>6.4999999999999997E-3</v>
      </c>
      <c r="I46" s="708"/>
      <c r="J46" s="436">
        <f>H46*J14</f>
        <v>6.9313399999999987</v>
      </c>
      <c r="K46" s="437"/>
    </row>
    <row r="47" spans="2:22">
      <c r="B47" s="305" t="s">
        <v>11</v>
      </c>
      <c r="C47" s="481" t="s">
        <v>171</v>
      </c>
      <c r="D47" s="447"/>
      <c r="E47" s="447"/>
      <c r="F47" s="447"/>
      <c r="G47" s="487"/>
      <c r="H47" s="709">
        <v>1.1000000000000001E-3</v>
      </c>
      <c r="I47" s="710"/>
      <c r="J47" s="436">
        <f>J14*H47</f>
        <v>1.1729959999999999</v>
      </c>
      <c r="K47" s="437"/>
    </row>
    <row r="48" spans="2:22">
      <c r="B48" s="507" t="s">
        <v>172</v>
      </c>
      <c r="C48" s="465"/>
      <c r="D48" s="465"/>
      <c r="E48" s="465"/>
      <c r="F48" s="465"/>
      <c r="G48" s="466"/>
      <c r="H48" s="511">
        <f>H46+H47</f>
        <v>7.6E-3</v>
      </c>
      <c r="I48" s="512"/>
      <c r="J48" s="462">
        <f>SUM(J46:J47)</f>
        <v>8.1043359999999982</v>
      </c>
      <c r="K48" s="510"/>
    </row>
    <row r="49" spans="2:17">
      <c r="B49" s="24" t="s">
        <v>173</v>
      </c>
      <c r="C49" s="449" t="s">
        <v>174</v>
      </c>
      <c r="D49" s="427"/>
      <c r="E49" s="427"/>
      <c r="F49" s="427"/>
      <c r="G49" s="428"/>
      <c r="H49" s="449" t="s">
        <v>165</v>
      </c>
      <c r="I49" s="428"/>
      <c r="J49" s="449" t="s">
        <v>122</v>
      </c>
      <c r="K49" s="480"/>
    </row>
    <row r="50" spans="2:17">
      <c r="B50" s="25" t="s">
        <v>123</v>
      </c>
      <c r="C50" s="488" t="s">
        <v>175</v>
      </c>
      <c r="D50" s="489"/>
      <c r="E50" s="489"/>
      <c r="F50" s="489"/>
      <c r="G50" s="490"/>
      <c r="H50" s="707">
        <v>4.1999999999999997E-3</v>
      </c>
      <c r="I50" s="708"/>
      <c r="J50" s="436">
        <f>H50*J14</f>
        <v>4.4787119999999989</v>
      </c>
      <c r="K50" s="437"/>
    </row>
    <row r="51" spans="2:17">
      <c r="B51" s="305" t="s">
        <v>11</v>
      </c>
      <c r="C51" s="488" t="s">
        <v>176</v>
      </c>
      <c r="D51" s="489"/>
      <c r="E51" s="489"/>
      <c r="F51" s="489"/>
      <c r="G51" s="490"/>
      <c r="H51" s="713">
        <v>3.5999999999999997E-2</v>
      </c>
      <c r="I51" s="710"/>
      <c r="J51" s="436">
        <f>H50*J50</f>
        <v>1.8810590399999993E-2</v>
      </c>
      <c r="K51" s="437"/>
    </row>
    <row r="52" spans="2:17">
      <c r="B52" s="305" t="s">
        <v>125</v>
      </c>
      <c r="C52" s="488" t="s">
        <v>177</v>
      </c>
      <c r="D52" s="489"/>
      <c r="E52" s="489"/>
      <c r="F52" s="489"/>
      <c r="G52" s="490"/>
      <c r="H52" s="709">
        <v>2E-3</v>
      </c>
      <c r="I52" s="710"/>
      <c r="J52" s="436">
        <f>H52*J53</f>
        <v>4.1460076799999995E-2</v>
      </c>
      <c r="K52" s="437"/>
    </row>
    <row r="53" spans="2:17">
      <c r="B53" s="305" t="s">
        <v>139</v>
      </c>
      <c r="C53" s="488" t="s">
        <v>178</v>
      </c>
      <c r="D53" s="489"/>
      <c r="E53" s="489"/>
      <c r="F53" s="489"/>
      <c r="G53" s="490"/>
      <c r="H53" s="707">
        <v>1.9439999999999999E-2</v>
      </c>
      <c r="I53" s="708"/>
      <c r="J53" s="436">
        <f>H53*J14</f>
        <v>20.730038399999998</v>
      </c>
      <c r="K53" s="437"/>
    </row>
    <row r="54" spans="2:17">
      <c r="B54" s="305" t="s">
        <v>140</v>
      </c>
      <c r="C54" s="520" t="s">
        <v>179</v>
      </c>
      <c r="D54" s="521"/>
      <c r="E54" s="521"/>
      <c r="F54" s="521"/>
      <c r="G54" s="522"/>
      <c r="H54" s="709">
        <v>3.2659999999999998E-3</v>
      </c>
      <c r="I54" s="710"/>
      <c r="J54" s="436">
        <f>H54*J53</f>
        <v>6.7704305414399993E-2</v>
      </c>
      <c r="K54" s="437"/>
    </row>
    <row r="55" spans="2:17">
      <c r="B55" s="305" t="s">
        <v>141</v>
      </c>
      <c r="C55" s="488" t="s">
        <v>180</v>
      </c>
      <c r="D55" s="489"/>
      <c r="E55" s="489"/>
      <c r="F55" s="489"/>
      <c r="G55" s="490"/>
      <c r="H55" s="707">
        <v>2E-3</v>
      </c>
      <c r="I55" s="708"/>
      <c r="J55" s="436">
        <f>H55*J53</f>
        <v>4.1460076799999995E-2</v>
      </c>
      <c r="K55" s="437"/>
    </row>
    <row r="56" spans="2:17">
      <c r="B56" s="507" t="s">
        <v>181</v>
      </c>
      <c r="C56" s="465"/>
      <c r="D56" s="465"/>
      <c r="E56" s="465"/>
      <c r="F56" s="465"/>
      <c r="G56" s="466"/>
      <c r="H56" s="511">
        <f>SUM(H50:H55)</f>
        <v>6.6906000000000007E-2</v>
      </c>
      <c r="I56" s="512"/>
      <c r="J56" s="462">
        <f>SUM(J50:K55)</f>
        <v>25.378185449414396</v>
      </c>
      <c r="K56" s="510"/>
    </row>
    <row r="57" spans="2:17" ht="51.75" customHeight="1">
      <c r="B57" s="446" t="s">
        <v>182</v>
      </c>
      <c r="C57" s="447"/>
      <c r="D57" s="447"/>
      <c r="E57" s="447"/>
      <c r="F57" s="447"/>
      <c r="G57" s="447"/>
      <c r="H57" s="447"/>
      <c r="I57" s="447"/>
      <c r="J57" s="447"/>
      <c r="K57" s="448"/>
    </row>
    <row r="58" spans="2:17">
      <c r="B58" s="24" t="s">
        <v>183</v>
      </c>
      <c r="C58" s="449" t="s">
        <v>164</v>
      </c>
      <c r="D58" s="427"/>
      <c r="E58" s="427"/>
      <c r="F58" s="427"/>
      <c r="G58" s="428"/>
      <c r="H58" s="449" t="s">
        <v>165</v>
      </c>
      <c r="I58" s="428"/>
      <c r="J58" s="449" t="s">
        <v>122</v>
      </c>
      <c r="K58" s="480"/>
    </row>
    <row r="59" spans="2:17">
      <c r="B59" s="25" t="s">
        <v>123</v>
      </c>
      <c r="C59" s="488" t="s">
        <v>184</v>
      </c>
      <c r="D59" s="489"/>
      <c r="E59" s="489"/>
      <c r="F59" s="489"/>
      <c r="G59" s="490"/>
      <c r="H59" s="707">
        <v>0.1111</v>
      </c>
      <c r="I59" s="708"/>
      <c r="J59" s="436">
        <f>H59*J13</f>
        <v>118.472596</v>
      </c>
      <c r="K59" s="437"/>
      <c r="P59" s="26"/>
    </row>
    <row r="60" spans="2:17">
      <c r="B60" s="305" t="s">
        <v>11</v>
      </c>
      <c r="C60" s="488" t="s">
        <v>185</v>
      </c>
      <c r="D60" s="489"/>
      <c r="E60" s="489"/>
      <c r="F60" s="489"/>
      <c r="G60" s="490"/>
      <c r="H60" s="707">
        <v>1.66E-2</v>
      </c>
      <c r="I60" s="708"/>
      <c r="J60" s="436">
        <f>H60*J13</f>
        <v>17.701575999999999</v>
      </c>
      <c r="K60" s="437"/>
      <c r="M60" s="27"/>
      <c r="P60" s="26"/>
    </row>
    <row r="61" spans="2:17">
      <c r="B61" s="305" t="s">
        <v>125</v>
      </c>
      <c r="C61" s="488" t="s">
        <v>186</v>
      </c>
      <c r="D61" s="489"/>
      <c r="E61" s="489"/>
      <c r="F61" s="489"/>
      <c r="G61" s="490"/>
      <c r="H61" s="707">
        <v>2.0000000000000001E-4</v>
      </c>
      <c r="I61" s="708"/>
      <c r="J61" s="436">
        <f>H61*J13</f>
        <v>0.21327199999999999</v>
      </c>
      <c r="K61" s="437"/>
      <c r="P61" s="26"/>
    </row>
    <row r="62" spans="2:17">
      <c r="B62" s="305" t="s">
        <v>139</v>
      </c>
      <c r="C62" s="488" t="s">
        <v>187</v>
      </c>
      <c r="D62" s="489"/>
      <c r="E62" s="489"/>
      <c r="F62" s="489"/>
      <c r="G62" s="490"/>
      <c r="H62" s="707">
        <v>2.8E-3</v>
      </c>
      <c r="I62" s="708"/>
      <c r="J62" s="436">
        <f>H62*J13</f>
        <v>2.9858079999999996</v>
      </c>
      <c r="K62" s="437"/>
      <c r="N62" s="28"/>
      <c r="P62" s="26"/>
      <c r="Q62" s="28"/>
    </row>
    <row r="63" spans="2:17">
      <c r="B63" s="305" t="s">
        <v>140</v>
      </c>
      <c r="C63" s="488" t="s">
        <v>188</v>
      </c>
      <c r="D63" s="489"/>
      <c r="E63" s="489"/>
      <c r="F63" s="489"/>
      <c r="G63" s="490"/>
      <c r="H63" s="707">
        <v>2.9999999999999997E-4</v>
      </c>
      <c r="I63" s="708"/>
      <c r="J63" s="436">
        <f>H63*J13</f>
        <v>0.31990799999999991</v>
      </c>
      <c r="K63" s="437"/>
    </row>
    <row r="64" spans="2:17">
      <c r="B64" s="523" t="s">
        <v>190</v>
      </c>
      <c r="C64" s="524"/>
      <c r="D64" s="524"/>
      <c r="E64" s="524"/>
      <c r="F64" s="524"/>
      <c r="G64" s="525"/>
      <c r="H64" s="526">
        <f>H63+H62+H61+H60+H59</f>
        <v>0.13100000000000001</v>
      </c>
      <c r="I64" s="527"/>
      <c r="J64" s="528">
        <f>SUM(J59:J63)</f>
        <v>139.69315999999998</v>
      </c>
      <c r="K64" s="529"/>
    </row>
    <row r="65" spans="2:11">
      <c r="B65" s="29" t="s">
        <v>158</v>
      </c>
      <c r="C65" s="530" t="s">
        <v>191</v>
      </c>
      <c r="D65" s="531"/>
      <c r="E65" s="531"/>
      <c r="F65" s="531"/>
      <c r="G65" s="532"/>
      <c r="H65" s="526">
        <v>2.2700000000000001E-2</v>
      </c>
      <c r="I65" s="527"/>
      <c r="J65" s="484">
        <f>H65*J64</f>
        <v>3.1710347319999999</v>
      </c>
      <c r="K65" s="486"/>
    </row>
    <row r="66" spans="2:11">
      <c r="B66" s="523" t="s">
        <v>192</v>
      </c>
      <c r="C66" s="524"/>
      <c r="D66" s="524"/>
      <c r="E66" s="524"/>
      <c r="F66" s="524"/>
      <c r="G66" s="525"/>
      <c r="H66" s="535">
        <f>H64+H65</f>
        <v>0.1537</v>
      </c>
      <c r="I66" s="536"/>
      <c r="J66" s="513">
        <f>SUM(J64:J65)</f>
        <v>142.86419473199999</v>
      </c>
      <c r="K66" s="514"/>
    </row>
    <row r="67" spans="2:11">
      <c r="B67" s="24" t="s">
        <v>99</v>
      </c>
      <c r="C67" s="449" t="s">
        <v>193</v>
      </c>
      <c r="D67" s="537"/>
      <c r="E67" s="537"/>
      <c r="F67" s="537"/>
      <c r="G67" s="538"/>
      <c r="H67" s="449" t="s">
        <v>165</v>
      </c>
      <c r="I67" s="428"/>
      <c r="J67" s="449" t="s">
        <v>122</v>
      </c>
      <c r="K67" s="480"/>
    </row>
    <row r="68" spans="2:11">
      <c r="B68" s="15" t="s">
        <v>150</v>
      </c>
      <c r="C68" s="488" t="s">
        <v>194</v>
      </c>
      <c r="D68" s="489"/>
      <c r="E68" s="489"/>
      <c r="F68" s="489"/>
      <c r="G68" s="490"/>
      <c r="H68" s="533">
        <f>+H40</f>
        <v>0.3680000000000001</v>
      </c>
      <c r="I68" s="534"/>
      <c r="J68" s="436">
        <f>H68*J14</f>
        <v>392.42048000000005</v>
      </c>
      <c r="K68" s="437"/>
    </row>
    <row r="69" spans="2:11">
      <c r="B69" s="301" t="s">
        <v>163</v>
      </c>
      <c r="C69" s="488" t="s">
        <v>195</v>
      </c>
      <c r="D69" s="489"/>
      <c r="E69" s="489"/>
      <c r="F69" s="489"/>
      <c r="G69" s="490"/>
      <c r="H69" s="533">
        <f>H44</f>
        <v>9.7299999999999998E-2</v>
      </c>
      <c r="I69" s="534"/>
      <c r="J69" s="436">
        <f>H69*J14</f>
        <v>103.75682799999998</v>
      </c>
      <c r="K69" s="437"/>
    </row>
    <row r="70" spans="2:11">
      <c r="B70" s="301" t="s">
        <v>169</v>
      </c>
      <c r="C70" s="488" t="s">
        <v>170</v>
      </c>
      <c r="D70" s="489"/>
      <c r="E70" s="489"/>
      <c r="F70" s="489"/>
      <c r="G70" s="490"/>
      <c r="H70" s="533">
        <f>H48</f>
        <v>7.6E-3</v>
      </c>
      <c r="I70" s="534"/>
      <c r="J70" s="436">
        <f>H70*J14</f>
        <v>8.104336</v>
      </c>
      <c r="K70" s="437"/>
    </row>
    <row r="71" spans="2:11">
      <c r="B71" s="301" t="s">
        <v>173</v>
      </c>
      <c r="C71" s="488" t="s">
        <v>196</v>
      </c>
      <c r="D71" s="489"/>
      <c r="E71" s="489"/>
      <c r="F71" s="489"/>
      <c r="G71" s="490"/>
      <c r="H71" s="539">
        <f>H56</f>
        <v>6.6906000000000007E-2</v>
      </c>
      <c r="I71" s="540"/>
      <c r="J71" s="541">
        <f>J56</f>
        <v>25.378185449414396</v>
      </c>
      <c r="K71" s="542"/>
    </row>
    <row r="72" spans="2:11">
      <c r="B72" s="301" t="s">
        <v>183</v>
      </c>
      <c r="C72" s="488" t="s">
        <v>197</v>
      </c>
      <c r="D72" s="489"/>
      <c r="E72" s="489"/>
      <c r="F72" s="489"/>
      <c r="G72" s="490"/>
      <c r="H72" s="539">
        <f>H66</f>
        <v>0.1537</v>
      </c>
      <c r="I72" s="540"/>
      <c r="J72" s="541">
        <f>J66</f>
        <v>142.86419473199999</v>
      </c>
      <c r="K72" s="542"/>
    </row>
    <row r="73" spans="2:11">
      <c r="B73" s="543" t="s">
        <v>198</v>
      </c>
      <c r="C73" s="544"/>
      <c r="D73" s="544"/>
      <c r="E73" s="544"/>
      <c r="F73" s="544"/>
      <c r="G73" s="545"/>
      <c r="H73" s="546">
        <f>SUM(H68:H72)</f>
        <v>0.69350600000000018</v>
      </c>
      <c r="I73" s="547"/>
      <c r="J73" s="548">
        <f>SUM(J68:J72)</f>
        <v>672.52402418141446</v>
      </c>
      <c r="K73" s="549"/>
    </row>
    <row r="74" spans="2:11">
      <c r="B74" s="562" t="s">
        <v>199</v>
      </c>
      <c r="C74" s="563"/>
      <c r="D74" s="563"/>
      <c r="E74" s="563"/>
      <c r="F74" s="563"/>
      <c r="G74" s="563"/>
      <c r="H74" s="563"/>
      <c r="I74" s="563"/>
      <c r="J74" s="563"/>
      <c r="K74" s="30"/>
    </row>
    <row r="75" spans="2:11">
      <c r="B75" s="564" t="s">
        <v>200</v>
      </c>
      <c r="C75" s="565"/>
      <c r="D75" s="565"/>
      <c r="E75" s="565"/>
      <c r="F75" s="565"/>
      <c r="G75" s="565"/>
      <c r="H75" s="565"/>
      <c r="I75" s="565"/>
      <c r="J75" s="565"/>
      <c r="K75" s="30"/>
    </row>
    <row r="76" spans="2:11">
      <c r="B76" s="551" t="s">
        <v>201</v>
      </c>
      <c r="C76" s="552"/>
      <c r="D76" s="552"/>
      <c r="E76" s="552"/>
      <c r="F76" s="552"/>
      <c r="G76" s="552"/>
      <c r="H76" s="552"/>
      <c r="I76" s="552"/>
      <c r="J76" s="552"/>
      <c r="K76" s="566"/>
    </row>
    <row r="77" spans="2:11">
      <c r="B77" s="550" t="s">
        <v>126</v>
      </c>
      <c r="C77" s="537"/>
      <c r="D77" s="537"/>
      <c r="E77" s="537"/>
      <c r="F77" s="537"/>
      <c r="G77" s="537"/>
      <c r="H77" s="537"/>
      <c r="I77" s="538"/>
      <c r="J77" s="31">
        <f>J14</f>
        <v>1066.3599999999999</v>
      </c>
      <c r="K77" s="30"/>
    </row>
    <row r="78" spans="2:11">
      <c r="B78" s="550" t="s">
        <v>142</v>
      </c>
      <c r="C78" s="537"/>
      <c r="D78" s="537"/>
      <c r="E78" s="537"/>
      <c r="F78" s="537"/>
      <c r="G78" s="537"/>
      <c r="H78" s="537"/>
      <c r="I78" s="538"/>
      <c r="J78" s="31">
        <f>J21</f>
        <v>399.73840000000001</v>
      </c>
      <c r="K78" s="30"/>
    </row>
    <row r="79" spans="2:11">
      <c r="B79" s="550" t="s">
        <v>148</v>
      </c>
      <c r="C79" s="537"/>
      <c r="D79" s="537"/>
      <c r="E79" s="537"/>
      <c r="F79" s="537"/>
      <c r="G79" s="537"/>
      <c r="H79" s="537"/>
      <c r="I79" s="538"/>
      <c r="J79" s="31">
        <f>J28</f>
        <v>10</v>
      </c>
      <c r="K79" s="30"/>
    </row>
    <row r="80" spans="2:11">
      <c r="B80" s="550" t="s">
        <v>198</v>
      </c>
      <c r="C80" s="537"/>
      <c r="D80" s="537"/>
      <c r="E80" s="537"/>
      <c r="F80" s="537"/>
      <c r="G80" s="537"/>
      <c r="H80" s="537"/>
      <c r="I80" s="538"/>
      <c r="J80" s="32">
        <f>J73</f>
        <v>672.52402418141446</v>
      </c>
      <c r="K80" s="30"/>
    </row>
    <row r="81" spans="2:13">
      <c r="B81" s="551" t="s">
        <v>202</v>
      </c>
      <c r="C81" s="552"/>
      <c r="D81" s="552"/>
      <c r="E81" s="552"/>
      <c r="F81" s="552"/>
      <c r="G81" s="552"/>
      <c r="H81" s="552"/>
      <c r="I81" s="553"/>
      <c r="J81" s="33">
        <f>SUM(J77:J80)</f>
        <v>2148.6224241814143</v>
      </c>
      <c r="K81" s="30"/>
      <c r="L81" s="34"/>
    </row>
    <row r="82" spans="2:13">
      <c r="B82" s="221" t="s">
        <v>203</v>
      </c>
      <c r="C82" s="298"/>
      <c r="D82" s="298"/>
      <c r="E82" s="298"/>
      <c r="F82" s="298"/>
      <c r="G82" s="298"/>
      <c r="H82" s="298"/>
      <c r="I82" s="298"/>
      <c r="J82" s="300"/>
      <c r="K82" s="30"/>
    </row>
    <row r="83" spans="2:13">
      <c r="B83" s="15" t="s">
        <v>204</v>
      </c>
      <c r="C83" s="554" t="s">
        <v>205</v>
      </c>
      <c r="D83" s="555"/>
      <c r="E83" s="555"/>
      <c r="F83" s="555"/>
      <c r="G83" s="35" t="s">
        <v>165</v>
      </c>
      <c r="H83" s="556" t="s">
        <v>122</v>
      </c>
      <c r="I83" s="557"/>
      <c r="J83" s="300"/>
      <c r="K83" s="30"/>
    </row>
    <row r="84" spans="2:13">
      <c r="B84" s="15" t="s">
        <v>123</v>
      </c>
      <c r="C84" s="558" t="s">
        <v>206</v>
      </c>
      <c r="D84" s="559"/>
      <c r="E84" s="559"/>
      <c r="F84" s="559"/>
      <c r="G84" s="405">
        <v>0</v>
      </c>
      <c r="H84" s="560">
        <f>J81*G84</f>
        <v>0</v>
      </c>
      <c r="I84" s="561"/>
      <c r="J84" s="300"/>
      <c r="K84" s="30"/>
    </row>
    <row r="85" spans="2:13" ht="28.5" customHeight="1">
      <c r="B85" s="578" t="s">
        <v>207</v>
      </c>
      <c r="C85" s="579"/>
      <c r="D85" s="579"/>
      <c r="E85" s="579"/>
      <c r="F85" s="579"/>
      <c r="G85" s="580"/>
      <c r="H85" s="580"/>
      <c r="I85" s="580"/>
      <c r="J85" s="300"/>
      <c r="K85" s="30"/>
    </row>
    <row r="86" spans="2:13">
      <c r="B86" s="36" t="s">
        <v>11</v>
      </c>
      <c r="C86" s="581" t="s">
        <v>208</v>
      </c>
      <c r="D86" s="582"/>
      <c r="E86" s="582"/>
      <c r="F86" s="583"/>
      <c r="G86" s="406">
        <v>0</v>
      </c>
      <c r="H86" s="528">
        <f>G86*(H84+J81)</f>
        <v>0</v>
      </c>
      <c r="I86" s="584"/>
      <c r="J86" s="300"/>
      <c r="K86" s="30"/>
    </row>
    <row r="87" spans="2:13" ht="30" customHeight="1">
      <c r="B87" s="578" t="s">
        <v>209</v>
      </c>
      <c r="C87" s="579"/>
      <c r="D87" s="579"/>
      <c r="E87" s="579"/>
      <c r="F87" s="579"/>
      <c r="G87" s="580"/>
      <c r="H87" s="580"/>
      <c r="I87" s="580"/>
      <c r="J87" s="31"/>
      <c r="K87" s="30"/>
    </row>
    <row r="88" spans="2:13">
      <c r="B88" s="567" t="s">
        <v>210</v>
      </c>
      <c r="C88" s="568"/>
      <c r="D88" s="568"/>
      <c r="E88" s="568"/>
      <c r="F88" s="568"/>
      <c r="G88" s="568"/>
      <c r="H88" s="568"/>
      <c r="I88" s="568"/>
      <c r="J88" s="31">
        <f>J81+H84+H86</f>
        <v>2148.6224241814143</v>
      </c>
      <c r="K88" s="37"/>
    </row>
    <row r="89" spans="2:13">
      <c r="B89" s="569" t="s">
        <v>211</v>
      </c>
      <c r="C89" s="570"/>
      <c r="D89" s="570"/>
      <c r="E89" s="570"/>
      <c r="F89" s="570"/>
      <c r="G89" s="570"/>
      <c r="H89" s="571"/>
      <c r="I89" s="38">
        <f>1-G92</f>
        <v>0.91349999999999998</v>
      </c>
      <c r="J89" s="31"/>
      <c r="K89" s="37"/>
    </row>
    <row r="90" spans="2:13">
      <c r="B90" s="572" t="s">
        <v>212</v>
      </c>
      <c r="C90" s="573"/>
      <c r="D90" s="573"/>
      <c r="E90" s="575" t="s">
        <v>213</v>
      </c>
      <c r="F90" s="576" t="s">
        <v>214</v>
      </c>
      <c r="G90" s="576"/>
      <c r="H90" s="576"/>
      <c r="I90" s="575" t="s">
        <v>215</v>
      </c>
      <c r="J90" s="31"/>
      <c r="K90" s="37"/>
    </row>
    <row r="91" spans="2:13">
      <c r="B91" s="574"/>
      <c r="C91" s="573"/>
      <c r="D91" s="573"/>
      <c r="E91" s="573"/>
      <c r="F91" s="577" t="s">
        <v>216</v>
      </c>
      <c r="G91" s="577"/>
      <c r="H91" s="577"/>
      <c r="I91" s="573"/>
      <c r="J91" s="31">
        <f>J88/I89</f>
        <v>2352.0770926999612</v>
      </c>
      <c r="K91" s="37"/>
      <c r="L91" s="39"/>
    </row>
    <row r="92" spans="2:13">
      <c r="B92" s="15" t="s">
        <v>125</v>
      </c>
      <c r="C92" s="704" t="s">
        <v>217</v>
      </c>
      <c r="D92" s="705"/>
      <c r="E92" s="705"/>
      <c r="F92" s="706"/>
      <c r="G92" s="715">
        <f>G94+G95+G97</f>
        <v>8.6499999999999994E-2</v>
      </c>
      <c r="H92" s="560">
        <f>+J91*G92</f>
        <v>203.45466851854664</v>
      </c>
      <c r="I92" s="560"/>
      <c r="J92" s="31"/>
      <c r="K92" s="37"/>
    </row>
    <row r="93" spans="2:13">
      <c r="B93" s="15">
        <v>1</v>
      </c>
      <c r="C93" s="297" t="s">
        <v>218</v>
      </c>
      <c r="D93" s="299"/>
      <c r="E93" s="299"/>
      <c r="F93" s="299"/>
      <c r="G93" s="404"/>
      <c r="H93" s="580"/>
      <c r="I93" s="580"/>
      <c r="J93" s="31"/>
      <c r="K93" s="37"/>
      <c r="M93" s="39"/>
    </row>
    <row r="94" spans="2:13">
      <c r="B94" s="714" t="s">
        <v>219</v>
      </c>
      <c r="C94" s="520" t="s">
        <v>252</v>
      </c>
      <c r="D94" s="592"/>
      <c r="E94" s="592"/>
      <c r="F94" s="593"/>
      <c r="G94" s="405">
        <v>0.03</v>
      </c>
      <c r="H94" s="580">
        <f>G94*J$91</f>
        <v>70.562312780998838</v>
      </c>
      <c r="I94" s="580"/>
      <c r="J94" s="31"/>
      <c r="K94" s="37"/>
    </row>
    <row r="95" spans="2:13">
      <c r="B95" s="714" t="s">
        <v>220</v>
      </c>
      <c r="C95" s="591" t="s">
        <v>251</v>
      </c>
      <c r="D95" s="591"/>
      <c r="E95" s="591"/>
      <c r="F95" s="591"/>
      <c r="G95" s="405">
        <v>6.4999999999999997E-3</v>
      </c>
      <c r="H95" s="580">
        <f>G95*J$91</f>
        <v>15.288501102549747</v>
      </c>
      <c r="I95" s="580"/>
      <c r="J95" s="31"/>
      <c r="K95" s="37"/>
    </row>
    <row r="96" spans="2:13">
      <c r="B96" s="15">
        <v>2</v>
      </c>
      <c r="C96" s="501" t="s">
        <v>221</v>
      </c>
      <c r="D96" s="594"/>
      <c r="E96" s="594"/>
      <c r="F96" s="595"/>
      <c r="G96" s="404"/>
      <c r="H96" s="580"/>
      <c r="I96" s="580"/>
      <c r="J96" s="31"/>
      <c r="K96" s="37"/>
    </row>
    <row r="97" spans="2:11">
      <c r="B97" s="714" t="s">
        <v>219</v>
      </c>
      <c r="C97" s="488" t="s">
        <v>222</v>
      </c>
      <c r="D97" s="596"/>
      <c r="E97" s="596"/>
      <c r="F97" s="597"/>
      <c r="G97" s="716">
        <v>0.05</v>
      </c>
      <c r="H97" s="580">
        <f>G97*J$91</f>
        <v>117.60385463499807</v>
      </c>
      <c r="I97" s="580"/>
      <c r="J97" s="31"/>
      <c r="K97" s="37"/>
    </row>
    <row r="98" spans="2:11">
      <c r="B98" s="585" t="s">
        <v>223</v>
      </c>
      <c r="C98" s="586"/>
      <c r="D98" s="586"/>
      <c r="E98" s="586"/>
      <c r="F98" s="586"/>
      <c r="G98" s="586"/>
      <c r="H98" s="587">
        <f>H94+H95+H97+H84+H86</f>
        <v>203.45466851854667</v>
      </c>
      <c r="I98" s="587"/>
      <c r="J98" s="31"/>
      <c r="K98" s="37"/>
    </row>
    <row r="99" spans="2:11">
      <c r="B99" s="609"/>
      <c r="C99" s="610"/>
      <c r="D99" s="610"/>
      <c r="E99" s="610"/>
      <c r="F99" s="610"/>
      <c r="G99" s="610"/>
      <c r="H99" s="610"/>
      <c r="I99" s="610"/>
      <c r="J99" s="611"/>
      <c r="K99" s="30"/>
    </row>
    <row r="100" spans="2:11">
      <c r="B100" s="612"/>
      <c r="C100" s="613"/>
      <c r="D100" s="613"/>
      <c r="E100" s="613"/>
      <c r="F100" s="613"/>
      <c r="G100" s="613"/>
      <c r="H100" s="613"/>
      <c r="I100" s="613"/>
      <c r="J100" s="614"/>
      <c r="K100" s="30"/>
    </row>
    <row r="101" spans="2:11">
      <c r="B101" s="615" t="s">
        <v>224</v>
      </c>
      <c r="C101" s="616"/>
      <c r="D101" s="616"/>
      <c r="E101" s="616"/>
      <c r="F101" s="616"/>
      <c r="G101" s="616"/>
      <c r="H101" s="617" t="s">
        <v>122</v>
      </c>
      <c r="I101" s="618"/>
      <c r="J101" s="31"/>
      <c r="K101" s="30"/>
    </row>
    <row r="102" spans="2:11">
      <c r="B102" s="598" t="s">
        <v>557</v>
      </c>
      <c r="C102" s="559"/>
      <c r="D102" s="559"/>
      <c r="E102" s="559"/>
      <c r="F102" s="559"/>
      <c r="G102" s="559"/>
      <c r="H102" s="580">
        <f>J77</f>
        <v>1066.3599999999999</v>
      </c>
      <c r="I102" s="580"/>
      <c r="J102" s="300"/>
      <c r="K102" s="30"/>
    </row>
    <row r="103" spans="2:11">
      <c r="B103" s="598" t="s">
        <v>558</v>
      </c>
      <c r="C103" s="559"/>
      <c r="D103" s="559"/>
      <c r="E103" s="559"/>
      <c r="F103" s="559"/>
      <c r="G103" s="559"/>
      <c r="H103" s="580">
        <f>J78</f>
        <v>399.73840000000001</v>
      </c>
      <c r="I103" s="580"/>
      <c r="J103" s="300"/>
      <c r="K103" s="30"/>
    </row>
    <row r="104" spans="2:11">
      <c r="B104" s="598" t="s">
        <v>559</v>
      </c>
      <c r="C104" s="559"/>
      <c r="D104" s="559"/>
      <c r="E104" s="559"/>
      <c r="F104" s="559"/>
      <c r="G104" s="559"/>
      <c r="H104" s="580">
        <f>J79</f>
        <v>10</v>
      </c>
      <c r="I104" s="580"/>
      <c r="J104" s="300"/>
      <c r="K104" s="30"/>
    </row>
    <row r="105" spans="2:11">
      <c r="B105" s="598" t="s">
        <v>560</v>
      </c>
      <c r="C105" s="559"/>
      <c r="D105" s="559"/>
      <c r="E105" s="559"/>
      <c r="F105" s="559"/>
      <c r="G105" s="559"/>
      <c r="H105" s="580">
        <f>J80</f>
        <v>672.52402418141446</v>
      </c>
      <c r="I105" s="580"/>
      <c r="J105" s="300"/>
      <c r="K105" s="30"/>
    </row>
    <row r="106" spans="2:11">
      <c r="B106" s="598" t="s">
        <v>561</v>
      </c>
      <c r="C106" s="559"/>
      <c r="D106" s="559"/>
      <c r="E106" s="559"/>
      <c r="F106" s="559"/>
      <c r="G106" s="559"/>
      <c r="H106" s="580">
        <f>H98</f>
        <v>203.45466851854667</v>
      </c>
      <c r="I106" s="580"/>
      <c r="J106" s="300"/>
      <c r="K106" s="30"/>
    </row>
    <row r="107" spans="2:11">
      <c r="B107" s="605" t="s">
        <v>225</v>
      </c>
      <c r="C107" s="606"/>
      <c r="D107" s="606"/>
      <c r="E107" s="606"/>
      <c r="F107" s="606"/>
      <c r="G107" s="606"/>
      <c r="H107" s="607">
        <f>SUM(H102:H106)</f>
        <v>2352.0770926999612</v>
      </c>
      <c r="I107" s="607"/>
      <c r="J107" s="300"/>
      <c r="K107" s="30"/>
    </row>
    <row r="108" spans="2:11">
      <c r="B108" s="608"/>
      <c r="C108" s="427"/>
      <c r="D108" s="427"/>
      <c r="E108" s="427"/>
      <c r="F108" s="427"/>
      <c r="G108" s="427"/>
      <c r="H108" s="427"/>
      <c r="I108" s="427"/>
      <c r="J108" s="428"/>
      <c r="K108" s="30"/>
    </row>
    <row r="109" spans="2:11">
      <c r="B109" s="599" t="s">
        <v>226</v>
      </c>
      <c r="C109" s="600"/>
      <c r="D109" s="600"/>
      <c r="E109" s="600"/>
      <c r="F109" s="600"/>
      <c r="G109" s="600"/>
      <c r="H109" s="600" t="s">
        <v>110</v>
      </c>
      <c r="I109" s="600"/>
      <c r="J109" s="300"/>
      <c r="K109" s="30"/>
    </row>
    <row r="110" spans="2:11">
      <c r="B110" s="599" t="s">
        <v>227</v>
      </c>
      <c r="C110" s="600"/>
      <c r="D110" s="600"/>
      <c r="E110" s="600"/>
      <c r="F110" s="40" t="s">
        <v>228</v>
      </c>
      <c r="G110" s="40" t="s">
        <v>229</v>
      </c>
      <c r="H110" s="600"/>
      <c r="I110" s="600"/>
      <c r="J110" s="300"/>
      <c r="K110" s="30"/>
    </row>
    <row r="111" spans="2:11">
      <c r="B111" s="598" t="s">
        <v>230</v>
      </c>
      <c r="C111" s="558"/>
      <c r="D111" s="558"/>
      <c r="E111" s="558"/>
      <c r="F111" s="41">
        <f>G6+G7</f>
        <v>1</v>
      </c>
      <c r="G111" s="42">
        <f>+H107/F111</f>
        <v>2352.0770926999612</v>
      </c>
      <c r="H111" s="560">
        <f>+F111*G111</f>
        <v>2352.0770926999612</v>
      </c>
      <c r="I111" s="560"/>
      <c r="J111" s="300"/>
      <c r="K111" s="30"/>
    </row>
    <row r="112" spans="2:11">
      <c r="B112" s="599" t="s">
        <v>231</v>
      </c>
      <c r="C112" s="600"/>
      <c r="D112" s="600"/>
      <c r="E112" s="600"/>
      <c r="F112" s="600"/>
      <c r="G112" s="600"/>
      <c r="H112" s="601">
        <f>+H111</f>
        <v>2352.0770926999612</v>
      </c>
      <c r="I112" s="601"/>
      <c r="J112" s="300"/>
      <c r="K112" s="30"/>
    </row>
    <row r="113" spans="2:11" ht="15.75" thickBot="1">
      <c r="B113" s="602" t="s">
        <v>232</v>
      </c>
      <c r="C113" s="603"/>
      <c r="D113" s="603"/>
      <c r="E113" s="603"/>
      <c r="F113" s="603"/>
      <c r="G113" s="603"/>
      <c r="H113" s="604">
        <f>H112*12</f>
        <v>28224.925112399535</v>
      </c>
      <c r="I113" s="604"/>
      <c r="J113" s="43"/>
      <c r="K113" s="44"/>
    </row>
    <row r="114" spans="2:11" hidden="1"/>
    <row r="115" spans="2:11" hidden="1"/>
    <row r="116" spans="2:11" hidden="1"/>
    <row r="117" spans="2:11" hidden="1">
      <c r="I117" s="39"/>
    </row>
    <row r="118" spans="2:11"/>
    <row r="119" spans="2:11"/>
  </sheetData>
  <sheetProtection algorithmName="SHA-512" hashValue="MLM0gL230t/wEqHGD3U7TFewH2X5qh/cP6XJEhHW+Qpm/y1tVtv5WolaeY6AaW86uFaxeuOfzQOZ2dcIGKy+1Q==" saltValue="Sr3tGoliC5OdLUpAct89lw==" spinCount="100000" sheet="1" objects="1" scenarios="1"/>
  <protectedRanges>
    <protectedRange algorithmName="SHA-512" hashValue="WqOapSOrsN1ZIylEeDg8qsMj3/Ei4DSu+yanIGPrB9mdgPDIIehqzbgeAAg8EWvIcWBY5VOT/h31EIMHRZGAMQ==" saltValue="+ug9f8pTOmSSZ2JyYuT7TA==" spinCount="100000" sqref="G86" name="Intervalo8"/>
    <protectedRange algorithmName="SHA-512" hashValue="bhbqRQLX8rgbvsG2EOjXKaPiwCv1gO5p9m4DlSaHzQPzQSj2JHWn9xeN2TbHSmmCrAcvR7H4sNdY7ES+wuefyg==" saltValue="v3eAT0tAxQOj7pSMAM0DcA==" spinCount="100000" sqref="G84" name="Intervalo7"/>
    <protectedRange algorithmName="SHA-512" hashValue="11zYvWi56RXEYTNfWa/zGnrLHzo8OTizHyypLoXUHCi0Dps7F+nOmoEcVfjPlv4v70f3kAkEpFKUUAY2/f+67w==" saltValue="j7ywFm4wbW9tRqNX/QIEOA==" spinCount="100000" sqref="H32" name="Intervalo6"/>
    <protectedRange algorithmName="SHA-512" hashValue="Ah6xLASO/UwiSJvpQJuoNoNIo1mfdhLxEsO3FpD0BDF8AlUm+3TEdBDSiVe9ZIm4T7QqVXzZRl2L3m3Xs8wbfg==" saltValue="scGGcdxRv9YW5mFCeF0+XQ==" spinCount="100000" sqref="J24:K27" name="Intervalo5"/>
    <protectedRange algorithmName="SHA-512" hashValue="k8qMKHorOWOiGUjEQzj/o9qZPhGX84Mwa9tVj7bwWNVcpBtdEVmkPVuzzY0Twt43/ftKl8YkRAAH2Fn4jsLTkg==" saltValue="GUP9L+gkZFeuCb0LAoRJMw==" spinCount="100000" sqref="N17:O20" name="Intervalo4"/>
    <protectedRange algorithmName="SHA-512" hashValue="NMSv0JJWtkb3QvUsVTHzvSvCQQ/aS8dA7efcphU3A/5W1u/s87dO0B+xDLtSDrlxSXVItHzqy9SDLy5wBJ5OZQ==" saltValue="e2BG1p15fg07qiDCv0z8Zw==" spinCount="100000" sqref="C20:G20" name="Intervalo3"/>
    <protectedRange algorithmName="SHA-512" hashValue="fmLXqBbTOiZlbMv236VyWP47+fJZucYZiquNlQj/N9ONKT3pQCF+jgvywPgD/omnWdo1eAN5z7DMqmGCJaXnOA==" saltValue="rdnOqJQ4K6z46z1YHk/e4w==" spinCount="100000" sqref="H6" name="Intervalo1"/>
    <protectedRange algorithmName="SHA-512" hashValue="Ah6xLASO/UwiSJvpQJuoNoNIo1mfdhLxEsO3FpD0BDF8AlUm+3TEdBDSiVe9ZIm4T7QqVXzZRl2L3m3Xs8wbfg==" saltValue="scGGcdxRv9YW5mFCeF0+XQ==" spinCount="100000" sqref="C26:I27" name="Intervalo5_1"/>
  </protectedRanges>
  <mergeCells count="255">
    <mergeCell ref="B104:G104"/>
    <mergeCell ref="H104:I104"/>
    <mergeCell ref="B105:G105"/>
    <mergeCell ref="H105:I105"/>
    <mergeCell ref="B106:G106"/>
    <mergeCell ref="H106:I106"/>
    <mergeCell ref="B99:J100"/>
    <mergeCell ref="B101:G101"/>
    <mergeCell ref="H101:I101"/>
    <mergeCell ref="B102:G102"/>
    <mergeCell ref="H102:I102"/>
    <mergeCell ref="B103:G103"/>
    <mergeCell ref="H103:I103"/>
    <mergeCell ref="B111:E111"/>
    <mergeCell ref="H111:I111"/>
    <mergeCell ref="B112:G112"/>
    <mergeCell ref="H112:I112"/>
    <mergeCell ref="B113:G113"/>
    <mergeCell ref="H113:I113"/>
    <mergeCell ref="B107:G107"/>
    <mergeCell ref="H107:I107"/>
    <mergeCell ref="B108:J108"/>
    <mergeCell ref="B109:G109"/>
    <mergeCell ref="H109:I110"/>
    <mergeCell ref="B110:E110"/>
    <mergeCell ref="H96:I96"/>
    <mergeCell ref="H97:I97"/>
    <mergeCell ref="B98:G98"/>
    <mergeCell ref="H98:I98"/>
    <mergeCell ref="C92:F92"/>
    <mergeCell ref="H92:I92"/>
    <mergeCell ref="H93:I93"/>
    <mergeCell ref="H94:I94"/>
    <mergeCell ref="C95:F95"/>
    <mergeCell ref="H95:I95"/>
    <mergeCell ref="C94:F94"/>
    <mergeCell ref="C96:F96"/>
    <mergeCell ref="C97:F97"/>
    <mergeCell ref="B88:I88"/>
    <mergeCell ref="B89:H89"/>
    <mergeCell ref="B90:D91"/>
    <mergeCell ref="E90:E91"/>
    <mergeCell ref="F90:H90"/>
    <mergeCell ref="I90:I91"/>
    <mergeCell ref="F91:H91"/>
    <mergeCell ref="B85:F85"/>
    <mergeCell ref="G85:I85"/>
    <mergeCell ref="C86:F86"/>
    <mergeCell ref="H86:I86"/>
    <mergeCell ref="B87:F87"/>
    <mergeCell ref="G87:I87"/>
    <mergeCell ref="B80:I80"/>
    <mergeCell ref="B81:I81"/>
    <mergeCell ref="C83:F83"/>
    <mergeCell ref="H83:I83"/>
    <mergeCell ref="C84:F84"/>
    <mergeCell ref="H84:I84"/>
    <mergeCell ref="B74:J74"/>
    <mergeCell ref="B75:J75"/>
    <mergeCell ref="B76:K76"/>
    <mergeCell ref="B77:I77"/>
    <mergeCell ref="B78:I78"/>
    <mergeCell ref="B79:I79"/>
    <mergeCell ref="C72:G72"/>
    <mergeCell ref="H72:I72"/>
    <mergeCell ref="J72:K72"/>
    <mergeCell ref="B73:G73"/>
    <mergeCell ref="H73:I73"/>
    <mergeCell ref="J73:K73"/>
    <mergeCell ref="C70:G70"/>
    <mergeCell ref="H70:I70"/>
    <mergeCell ref="J70:K70"/>
    <mergeCell ref="C71:G71"/>
    <mergeCell ref="H71:I71"/>
    <mergeCell ref="J71:K71"/>
    <mergeCell ref="C68:G68"/>
    <mergeCell ref="H68:I68"/>
    <mergeCell ref="J68:K68"/>
    <mergeCell ref="C69:G69"/>
    <mergeCell ref="H69:I69"/>
    <mergeCell ref="J69:K69"/>
    <mergeCell ref="B66:G66"/>
    <mergeCell ref="H66:I66"/>
    <mergeCell ref="J66:K66"/>
    <mergeCell ref="C67:G67"/>
    <mergeCell ref="H67:I67"/>
    <mergeCell ref="J67:K67"/>
    <mergeCell ref="B64:G64"/>
    <mergeCell ref="H64:I64"/>
    <mergeCell ref="J64:K64"/>
    <mergeCell ref="C65:G65"/>
    <mergeCell ref="H65:I65"/>
    <mergeCell ref="J65:K65"/>
    <mergeCell ref="C63:G63"/>
    <mergeCell ref="H63:I63"/>
    <mergeCell ref="J63:K63"/>
    <mergeCell ref="C61:G61"/>
    <mergeCell ref="H61:I61"/>
    <mergeCell ref="J61:K61"/>
    <mergeCell ref="C62:G62"/>
    <mergeCell ref="H62:I62"/>
    <mergeCell ref="J62:K62"/>
    <mergeCell ref="C59:G59"/>
    <mergeCell ref="H59:I59"/>
    <mergeCell ref="J59:K59"/>
    <mergeCell ref="C60:G60"/>
    <mergeCell ref="H60:I60"/>
    <mergeCell ref="J60:K60"/>
    <mergeCell ref="B56:G56"/>
    <mergeCell ref="H56:I56"/>
    <mergeCell ref="J56:K56"/>
    <mergeCell ref="B57:K57"/>
    <mergeCell ref="C58:G58"/>
    <mergeCell ref="H58:I58"/>
    <mergeCell ref="J58:K58"/>
    <mergeCell ref="C54:G54"/>
    <mergeCell ref="H54:I54"/>
    <mergeCell ref="J54:K54"/>
    <mergeCell ref="C55:G55"/>
    <mergeCell ref="H55:I55"/>
    <mergeCell ref="J55:K55"/>
    <mergeCell ref="C52:G52"/>
    <mergeCell ref="H52:I52"/>
    <mergeCell ref="J52:K52"/>
    <mergeCell ref="C53:G53"/>
    <mergeCell ref="H53:I53"/>
    <mergeCell ref="J53:K53"/>
    <mergeCell ref="C50:G50"/>
    <mergeCell ref="H50:I50"/>
    <mergeCell ref="J50:K50"/>
    <mergeCell ref="C51:G51"/>
    <mergeCell ref="H51:I51"/>
    <mergeCell ref="J51:K51"/>
    <mergeCell ref="B48:G48"/>
    <mergeCell ref="H48:I48"/>
    <mergeCell ref="J48:K48"/>
    <mergeCell ref="C49:G49"/>
    <mergeCell ref="H49:I49"/>
    <mergeCell ref="J49:K49"/>
    <mergeCell ref="C46:G46"/>
    <mergeCell ref="H46:I46"/>
    <mergeCell ref="J46:K46"/>
    <mergeCell ref="C47:G47"/>
    <mergeCell ref="H47:I47"/>
    <mergeCell ref="J47:K47"/>
    <mergeCell ref="B44:G44"/>
    <mergeCell ref="H44:I44"/>
    <mergeCell ref="J44:K44"/>
    <mergeCell ref="C45:G45"/>
    <mergeCell ref="H45:I45"/>
    <mergeCell ref="J45:K45"/>
    <mergeCell ref="C42:G42"/>
    <mergeCell ref="H42:I42"/>
    <mergeCell ref="J42:K42"/>
    <mergeCell ref="C43:G43"/>
    <mergeCell ref="H43:I43"/>
    <mergeCell ref="J43:K43"/>
    <mergeCell ref="B40:G40"/>
    <mergeCell ref="H40:I40"/>
    <mergeCell ref="J40:K40"/>
    <mergeCell ref="C41:G41"/>
    <mergeCell ref="H41:I41"/>
    <mergeCell ref="J41:K41"/>
    <mergeCell ref="C38:G38"/>
    <mergeCell ref="H38:I38"/>
    <mergeCell ref="J38:K38"/>
    <mergeCell ref="C39:G39"/>
    <mergeCell ref="H39:I39"/>
    <mergeCell ref="J39:K39"/>
    <mergeCell ref="C36:G36"/>
    <mergeCell ref="H36:I36"/>
    <mergeCell ref="J36:K36"/>
    <mergeCell ref="C37:G37"/>
    <mergeCell ref="H37:I37"/>
    <mergeCell ref="J37:K37"/>
    <mergeCell ref="C34:G34"/>
    <mergeCell ref="H34:I34"/>
    <mergeCell ref="J34:K34"/>
    <mergeCell ref="C35:G35"/>
    <mergeCell ref="H35:I35"/>
    <mergeCell ref="J35:K35"/>
    <mergeCell ref="C32:G32"/>
    <mergeCell ref="H32:I32"/>
    <mergeCell ref="J32:K32"/>
    <mergeCell ref="C33:G33"/>
    <mergeCell ref="H33:I33"/>
    <mergeCell ref="J33:K33"/>
    <mergeCell ref="C27:I27"/>
    <mergeCell ref="J27:K27"/>
    <mergeCell ref="B28:I28"/>
    <mergeCell ref="J28:K28"/>
    <mergeCell ref="B29:K29"/>
    <mergeCell ref="C31:G31"/>
    <mergeCell ref="H31:I31"/>
    <mergeCell ref="J31:K31"/>
    <mergeCell ref="B30:J30"/>
    <mergeCell ref="C24:I24"/>
    <mergeCell ref="J24:K24"/>
    <mergeCell ref="C25:I25"/>
    <mergeCell ref="J25:K25"/>
    <mergeCell ref="C26:I26"/>
    <mergeCell ref="J26:K26"/>
    <mergeCell ref="B21:I21"/>
    <mergeCell ref="J21:K21"/>
    <mergeCell ref="B22:K22"/>
    <mergeCell ref="C23:I23"/>
    <mergeCell ref="J23:K23"/>
    <mergeCell ref="C19:F19"/>
    <mergeCell ref="H19:I19"/>
    <mergeCell ref="J19:K19"/>
    <mergeCell ref="C20:F20"/>
    <mergeCell ref="H20:I20"/>
    <mergeCell ref="H16:I16"/>
    <mergeCell ref="J16:K16"/>
    <mergeCell ref="C17:F17"/>
    <mergeCell ref="H17:I17"/>
    <mergeCell ref="J17:K17"/>
    <mergeCell ref="C18:F18"/>
    <mergeCell ref="H18:I18"/>
    <mergeCell ref="J18:K18"/>
    <mergeCell ref="B15:K15"/>
    <mergeCell ref="M15:M16"/>
    <mergeCell ref="M14:S14"/>
    <mergeCell ref="B4:I4"/>
    <mergeCell ref="N15:N16"/>
    <mergeCell ref="O15:O16"/>
    <mergeCell ref="P15:P16"/>
    <mergeCell ref="Q15:Q16"/>
    <mergeCell ref="R15:R16"/>
    <mergeCell ref="S15:S16"/>
    <mergeCell ref="C16:F16"/>
    <mergeCell ref="B2:I2"/>
    <mergeCell ref="J2:K5"/>
    <mergeCell ref="B5:F5"/>
    <mergeCell ref="H5:I5"/>
    <mergeCell ref="B6:F6"/>
    <mergeCell ref="H6:I6"/>
    <mergeCell ref="J6:K6"/>
    <mergeCell ref="B14:I14"/>
    <mergeCell ref="J14:K14"/>
    <mergeCell ref="B10:K10"/>
    <mergeCell ref="B11:K11"/>
    <mergeCell ref="C12:I12"/>
    <mergeCell ref="J12:K12"/>
    <mergeCell ref="C13:I13"/>
    <mergeCell ref="J13:K13"/>
    <mergeCell ref="B7:F7"/>
    <mergeCell ref="H7:I7"/>
    <mergeCell ref="J7:K7"/>
    <mergeCell ref="B8:I8"/>
    <mergeCell ref="J8:K8"/>
    <mergeCell ref="B9:I9"/>
    <mergeCell ref="J9:K9"/>
    <mergeCell ref="H3:I3"/>
    <mergeCell ref="B3:G3"/>
  </mergeCells>
  <dataValidations disablePrompts="1" count="1">
    <dataValidation type="list" allowBlank="1" showInputMessage="1" showErrorMessage="1" sqref="H3:I3">
      <formula1>$V$34:$V$37</formula1>
    </dataValidation>
  </dataValidations>
  <pageMargins left="0.25" right="0.25"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V115"/>
  <sheetViews>
    <sheetView tabSelected="1" zoomScale="85" zoomScaleNormal="85" workbookViewId="0">
      <selection activeCell="H17" sqref="H17:I17"/>
    </sheetView>
  </sheetViews>
  <sheetFormatPr defaultColWidth="0" defaultRowHeight="15" zeroHeight="1"/>
  <cols>
    <col min="1" max="1" width="4" style="9" customWidth="1"/>
    <col min="2" max="5" width="9.140625" style="9" customWidth="1"/>
    <col min="6" max="6" width="19.28515625" style="9" customWidth="1"/>
    <col min="7" max="7" width="15.7109375" style="9" bestFit="1" customWidth="1"/>
    <col min="8" max="8" width="9.140625" style="9" customWidth="1"/>
    <col min="9" max="9" width="22" style="9" customWidth="1"/>
    <col min="10" max="10" width="20.28515625" style="9" customWidth="1"/>
    <col min="11" max="11" width="0.140625" style="9" customWidth="1"/>
    <col min="12" max="12" width="10.5703125" style="9" bestFit="1" customWidth="1"/>
    <col min="13" max="13" width="22.42578125" style="9" customWidth="1"/>
    <col min="14" max="14" width="12.28515625" style="9" customWidth="1"/>
    <col min="15" max="15" width="13" style="9" bestFit="1" customWidth="1"/>
    <col min="16" max="16" width="10.5703125" style="9" bestFit="1" customWidth="1"/>
    <col min="17" max="17" width="10.140625" style="9" bestFit="1" customWidth="1"/>
    <col min="18" max="18" width="9.42578125" style="9" bestFit="1" customWidth="1"/>
    <col min="19" max="19" width="12.42578125" style="9" bestFit="1" customWidth="1"/>
    <col min="20" max="16384" width="9.140625" style="9" hidden="1"/>
  </cols>
  <sheetData>
    <row r="1" spans="2:19" ht="15.75" thickBot="1"/>
    <row r="2" spans="2:19">
      <c r="B2" s="417" t="s">
        <v>414</v>
      </c>
      <c r="C2" s="418"/>
      <c r="D2" s="418"/>
      <c r="E2" s="418"/>
      <c r="F2" s="418"/>
      <c r="G2" s="418"/>
      <c r="H2" s="418"/>
      <c r="I2" s="419"/>
      <c r="J2" s="420" t="s">
        <v>110</v>
      </c>
      <c r="K2" s="421"/>
      <c r="M2" s="10" t="s">
        <v>111</v>
      </c>
    </row>
    <row r="3" spans="2:19">
      <c r="B3" s="467" t="s">
        <v>571</v>
      </c>
      <c r="C3" s="468"/>
      <c r="D3" s="468"/>
      <c r="E3" s="468"/>
      <c r="F3" s="468"/>
      <c r="G3" s="468"/>
      <c r="H3" s="702" t="s">
        <v>568</v>
      </c>
      <c r="I3" s="703"/>
      <c r="J3" s="422"/>
      <c r="K3" s="423"/>
      <c r="M3" s="10"/>
    </row>
    <row r="4" spans="2:19" ht="27" customHeight="1">
      <c r="B4" s="471" t="s">
        <v>572</v>
      </c>
      <c r="C4" s="472"/>
      <c r="D4" s="472"/>
      <c r="E4" s="472"/>
      <c r="F4" s="472"/>
      <c r="G4" s="472"/>
      <c r="H4" s="472"/>
      <c r="I4" s="473"/>
      <c r="J4" s="422"/>
      <c r="K4" s="423"/>
      <c r="M4" s="10"/>
    </row>
    <row r="5" spans="2:19">
      <c r="B5" s="426" t="s">
        <v>112</v>
      </c>
      <c r="C5" s="427"/>
      <c r="D5" s="427"/>
      <c r="E5" s="427"/>
      <c r="F5" s="428"/>
      <c r="G5" s="11" t="s">
        <v>113</v>
      </c>
      <c r="H5" s="429" t="s">
        <v>114</v>
      </c>
      <c r="I5" s="430"/>
      <c r="J5" s="424"/>
      <c r="K5" s="425"/>
      <c r="M5" s="9" t="s">
        <v>115</v>
      </c>
    </row>
    <row r="6" spans="2:19">
      <c r="B6" s="619" t="s">
        <v>416</v>
      </c>
      <c r="C6" s="620"/>
      <c r="D6" s="620"/>
      <c r="E6" s="620"/>
      <c r="F6" s="621"/>
      <c r="G6" s="12">
        <v>1</v>
      </c>
      <c r="H6" s="434">
        <v>975.92</v>
      </c>
      <c r="I6" s="622"/>
      <c r="J6" s="436">
        <f>G6*H6</f>
        <v>975.92</v>
      </c>
      <c r="K6" s="437"/>
    </row>
    <row r="7" spans="2:19">
      <c r="B7" s="457"/>
      <c r="C7" s="427"/>
      <c r="D7" s="427"/>
      <c r="E7" s="427"/>
      <c r="F7" s="428"/>
      <c r="G7" s="13"/>
      <c r="H7" s="455"/>
      <c r="I7" s="458"/>
      <c r="J7" s="436">
        <f t="shared" ref="J7" si="0">G7*H7</f>
        <v>0</v>
      </c>
      <c r="K7" s="437"/>
    </row>
    <row r="8" spans="2:19">
      <c r="B8" s="459" t="s">
        <v>116</v>
      </c>
      <c r="C8" s="460"/>
      <c r="D8" s="460"/>
      <c r="E8" s="460"/>
      <c r="F8" s="460"/>
      <c r="G8" s="460"/>
      <c r="H8" s="460"/>
      <c r="I8" s="461"/>
      <c r="J8" s="462">
        <f>SUM(J6:J7)</f>
        <v>975.92</v>
      </c>
      <c r="K8" s="463"/>
    </row>
    <row r="9" spans="2:19">
      <c r="B9" s="464" t="s">
        <v>117</v>
      </c>
      <c r="C9" s="465"/>
      <c r="D9" s="465"/>
      <c r="E9" s="465"/>
      <c r="F9" s="465"/>
      <c r="G9" s="465"/>
      <c r="H9" s="465"/>
      <c r="I9" s="466"/>
      <c r="J9" s="462">
        <f>J8*12</f>
        <v>11711.039999999999</v>
      </c>
      <c r="K9" s="463"/>
    </row>
    <row r="10" spans="2:19">
      <c r="B10" s="623" t="s">
        <v>118</v>
      </c>
      <c r="C10" s="624"/>
      <c r="D10" s="624"/>
      <c r="E10" s="624"/>
      <c r="F10" s="624"/>
      <c r="G10" s="624"/>
      <c r="H10" s="624"/>
      <c r="I10" s="624"/>
      <c r="J10" s="624"/>
      <c r="K10" s="625"/>
    </row>
    <row r="11" spans="2:19" ht="30" customHeight="1">
      <c r="B11" s="446" t="s">
        <v>119</v>
      </c>
      <c r="C11" s="447"/>
      <c r="D11" s="447"/>
      <c r="E11" s="447"/>
      <c r="F11" s="447"/>
      <c r="G11" s="447"/>
      <c r="H11" s="447"/>
      <c r="I11" s="447"/>
      <c r="J11" s="447"/>
      <c r="K11" s="448"/>
      <c r="M11" s="14"/>
    </row>
    <row r="12" spans="2:19">
      <c r="B12" s="15" t="s">
        <v>120</v>
      </c>
      <c r="C12" s="449" t="s">
        <v>121</v>
      </c>
      <c r="D12" s="427"/>
      <c r="E12" s="427"/>
      <c r="F12" s="427"/>
      <c r="G12" s="427"/>
      <c r="H12" s="427"/>
      <c r="I12" s="428"/>
      <c r="J12" s="450" t="s">
        <v>122</v>
      </c>
      <c r="K12" s="451"/>
    </row>
    <row r="13" spans="2:19">
      <c r="B13" s="16" t="s">
        <v>123</v>
      </c>
      <c r="C13" s="452" t="s">
        <v>124</v>
      </c>
      <c r="D13" s="453"/>
      <c r="E13" s="453"/>
      <c r="F13" s="453"/>
      <c r="G13" s="453"/>
      <c r="H13" s="453"/>
      <c r="I13" s="454"/>
      <c r="J13" s="455">
        <f>J8</f>
        <v>975.92</v>
      </c>
      <c r="K13" s="456"/>
    </row>
    <row r="14" spans="2:19">
      <c r="B14" s="626" t="s">
        <v>126</v>
      </c>
      <c r="C14" s="627"/>
      <c r="D14" s="627"/>
      <c r="E14" s="627"/>
      <c r="F14" s="627"/>
      <c r="G14" s="627"/>
      <c r="H14" s="627"/>
      <c r="I14" s="628"/>
      <c r="J14" s="629">
        <f>SUM(J13:K13)</f>
        <v>975.92</v>
      </c>
      <c r="K14" s="630"/>
      <c r="M14" s="470" t="s">
        <v>127</v>
      </c>
      <c r="N14" s="470"/>
      <c r="O14" s="470"/>
      <c r="P14" s="470"/>
      <c r="Q14" s="470"/>
      <c r="R14" s="470"/>
      <c r="S14" s="470"/>
    </row>
    <row r="15" spans="2:19" ht="39.75" customHeight="1">
      <c r="B15" s="446" t="s">
        <v>128</v>
      </c>
      <c r="C15" s="447"/>
      <c r="D15" s="447"/>
      <c r="E15" s="447"/>
      <c r="F15" s="447"/>
      <c r="G15" s="447"/>
      <c r="H15" s="447"/>
      <c r="I15" s="447"/>
      <c r="J15" s="447"/>
      <c r="K15" s="448"/>
      <c r="M15" s="469" t="s">
        <v>552</v>
      </c>
      <c r="N15" s="469" t="s">
        <v>129</v>
      </c>
      <c r="O15" s="469" t="s">
        <v>122</v>
      </c>
      <c r="P15" s="469" t="s">
        <v>130</v>
      </c>
      <c r="Q15" s="474" t="s">
        <v>131</v>
      </c>
      <c r="R15" s="469" t="s">
        <v>132</v>
      </c>
      <c r="S15" s="474" t="s">
        <v>133</v>
      </c>
    </row>
    <row r="16" spans="2:19">
      <c r="B16" s="15" t="s">
        <v>134</v>
      </c>
      <c r="C16" s="449" t="s">
        <v>135</v>
      </c>
      <c r="D16" s="427"/>
      <c r="E16" s="427"/>
      <c r="F16" s="428"/>
      <c r="G16" s="17" t="s">
        <v>113</v>
      </c>
      <c r="H16" s="449" t="s">
        <v>136</v>
      </c>
      <c r="I16" s="428"/>
      <c r="J16" s="449" t="s">
        <v>131</v>
      </c>
      <c r="K16" s="480"/>
      <c r="M16" s="469"/>
      <c r="N16" s="469"/>
      <c r="O16" s="469"/>
      <c r="P16" s="469"/>
      <c r="Q16" s="474"/>
      <c r="R16" s="474"/>
      <c r="S16" s="474"/>
    </row>
    <row r="17" spans="2:19" ht="52.5" customHeight="1">
      <c r="B17" s="16" t="s">
        <v>123</v>
      </c>
      <c r="C17" s="481" t="s">
        <v>137</v>
      </c>
      <c r="D17" s="482"/>
      <c r="E17" s="482"/>
      <c r="F17" s="483"/>
      <c r="G17" s="302">
        <f>+G6</f>
        <v>1</v>
      </c>
      <c r="H17" s="484">
        <f>+S17</f>
        <v>95.044800000000038</v>
      </c>
      <c r="I17" s="485"/>
      <c r="J17" s="484">
        <f t="shared" ref="J17:J20" si="1">H17*G17</f>
        <v>95.044800000000038</v>
      </c>
      <c r="K17" s="486"/>
      <c r="M17" s="317" t="s">
        <v>553</v>
      </c>
      <c r="N17" s="318">
        <v>24</v>
      </c>
      <c r="O17" s="319">
        <v>3.2</v>
      </c>
      <c r="P17" s="18">
        <f>+O17*2</f>
        <v>6.4</v>
      </c>
      <c r="Q17" s="19">
        <f>(N17*P17)</f>
        <v>153.60000000000002</v>
      </c>
      <c r="R17" s="20">
        <f>IF(N17&gt;0,(-H6*0.06),0)</f>
        <v>-58.555199999999992</v>
      </c>
      <c r="S17" s="21">
        <f>SUM(Q17:R17)</f>
        <v>95.044800000000038</v>
      </c>
    </row>
    <row r="18" spans="2:19">
      <c r="B18" s="16" t="s">
        <v>11</v>
      </c>
      <c r="C18" s="481" t="s">
        <v>138</v>
      </c>
      <c r="D18" s="447"/>
      <c r="E18" s="447"/>
      <c r="F18" s="487"/>
      <c r="G18" s="302">
        <f>G17</f>
        <v>1</v>
      </c>
      <c r="H18" s="478">
        <f>+Q18</f>
        <v>169.92000000000002</v>
      </c>
      <c r="I18" s="479"/>
      <c r="J18" s="436">
        <f t="shared" si="1"/>
        <v>169.92000000000002</v>
      </c>
      <c r="K18" s="437"/>
      <c r="M18" s="318" t="s">
        <v>554</v>
      </c>
      <c r="N18" s="318">
        <v>24</v>
      </c>
      <c r="O18" s="319">
        <v>7.08</v>
      </c>
      <c r="P18" s="300"/>
      <c r="Q18" s="22">
        <f>+N18*O18</f>
        <v>169.92000000000002</v>
      </c>
    </row>
    <row r="19" spans="2:19">
      <c r="B19" s="23" t="s">
        <v>125</v>
      </c>
      <c r="C19" s="634" t="s">
        <v>556</v>
      </c>
      <c r="D19" s="635"/>
      <c r="E19" s="635"/>
      <c r="F19" s="636"/>
      <c r="G19" s="302">
        <f t="shared" ref="G19:G20" si="2">G18</f>
        <v>1</v>
      </c>
      <c r="H19" s="478">
        <f>+Q19</f>
        <v>40.200000000000003</v>
      </c>
      <c r="I19" s="479"/>
      <c r="J19" s="436">
        <f>G19*H19</f>
        <v>40.200000000000003</v>
      </c>
      <c r="K19" s="437"/>
      <c r="M19" s="318" t="s">
        <v>556</v>
      </c>
      <c r="N19" s="318">
        <v>1</v>
      </c>
      <c r="O19" s="319">
        <v>40.200000000000003</v>
      </c>
      <c r="P19" s="300"/>
      <c r="Q19" s="22">
        <f>+N19*O19</f>
        <v>40.200000000000003</v>
      </c>
    </row>
    <row r="20" spans="2:19">
      <c r="B20" s="23" t="s">
        <v>139</v>
      </c>
      <c r="C20" s="637" t="s">
        <v>555</v>
      </c>
      <c r="D20" s="638"/>
      <c r="E20" s="638"/>
      <c r="F20" s="639"/>
      <c r="G20" s="318">
        <f t="shared" si="2"/>
        <v>1</v>
      </c>
      <c r="H20" s="478">
        <f>+Q20</f>
        <v>100</v>
      </c>
      <c r="I20" s="479"/>
      <c r="J20" s="303">
        <f t="shared" si="1"/>
        <v>100</v>
      </c>
      <c r="K20" s="304"/>
      <c r="M20" s="318" t="s">
        <v>555</v>
      </c>
      <c r="N20" s="318">
        <v>1</v>
      </c>
      <c r="O20" s="319">
        <v>100</v>
      </c>
      <c r="P20" s="300"/>
      <c r="Q20" s="22">
        <f>+N20*O20</f>
        <v>100</v>
      </c>
    </row>
    <row r="21" spans="2:19">
      <c r="B21" s="626" t="s">
        <v>142</v>
      </c>
      <c r="C21" s="631"/>
      <c r="D21" s="631"/>
      <c r="E21" s="631"/>
      <c r="F21" s="631"/>
      <c r="G21" s="631"/>
      <c r="H21" s="631"/>
      <c r="I21" s="632"/>
      <c r="J21" s="629">
        <f>SUM(J17:J20)</f>
        <v>405.16480000000007</v>
      </c>
      <c r="K21" s="633"/>
    </row>
    <row r="22" spans="2:19" ht="30" customHeight="1">
      <c r="B22" s="446" t="s">
        <v>143</v>
      </c>
      <c r="C22" s="499"/>
      <c r="D22" s="499"/>
      <c r="E22" s="499"/>
      <c r="F22" s="499"/>
      <c r="G22" s="499"/>
      <c r="H22" s="499"/>
      <c r="I22" s="499"/>
      <c r="J22" s="499"/>
      <c r="K22" s="500"/>
    </row>
    <row r="23" spans="2:19">
      <c r="B23" s="16" t="s">
        <v>144</v>
      </c>
      <c r="C23" s="501" t="s">
        <v>145</v>
      </c>
      <c r="D23" s="489"/>
      <c r="E23" s="489"/>
      <c r="F23" s="489"/>
      <c r="G23" s="489"/>
      <c r="H23" s="489"/>
      <c r="I23" s="490"/>
      <c r="J23" s="449" t="s">
        <v>131</v>
      </c>
      <c r="K23" s="480"/>
    </row>
    <row r="24" spans="2:19">
      <c r="B24" s="16" t="s">
        <v>123</v>
      </c>
      <c r="C24" s="488" t="s">
        <v>146</v>
      </c>
      <c r="D24" s="489"/>
      <c r="E24" s="489"/>
      <c r="F24" s="489"/>
      <c r="G24" s="489"/>
      <c r="H24" s="489"/>
      <c r="I24" s="490"/>
      <c r="J24" s="491">
        <v>0</v>
      </c>
      <c r="K24" s="492"/>
    </row>
    <row r="25" spans="2:19">
      <c r="B25" s="16" t="s">
        <v>11</v>
      </c>
      <c r="C25" s="640" t="s">
        <v>565</v>
      </c>
      <c r="D25" s="641"/>
      <c r="E25" s="641"/>
      <c r="F25" s="641"/>
      <c r="G25" s="641"/>
      <c r="H25" s="641"/>
      <c r="I25" s="642"/>
      <c r="J25" s="478">
        <f>Utensílios!O23/20</f>
        <v>0</v>
      </c>
      <c r="K25" s="643"/>
    </row>
    <row r="26" spans="2:19">
      <c r="B26" s="305" t="s">
        <v>125</v>
      </c>
      <c r="C26" s="640" t="s">
        <v>566</v>
      </c>
      <c r="D26" s="641"/>
      <c r="E26" s="641"/>
      <c r="F26" s="641"/>
      <c r="G26" s="641"/>
      <c r="H26" s="641"/>
      <c r="I26" s="642"/>
      <c r="J26" s="478">
        <f>Equipamentos!P9/20</f>
        <v>0</v>
      </c>
      <c r="K26" s="643"/>
    </row>
    <row r="27" spans="2:19">
      <c r="B27" s="305" t="s">
        <v>139</v>
      </c>
      <c r="C27" s="719" t="s">
        <v>575</v>
      </c>
      <c r="D27" s="720"/>
      <c r="E27" s="720"/>
      <c r="F27" s="720"/>
      <c r="G27" s="720"/>
      <c r="H27" s="720"/>
      <c r="I27" s="721"/>
      <c r="J27" s="717">
        <v>10</v>
      </c>
      <c r="K27" s="718"/>
    </row>
    <row r="28" spans="2:19">
      <c r="B28" s="626" t="s">
        <v>148</v>
      </c>
      <c r="C28" s="631"/>
      <c r="D28" s="631"/>
      <c r="E28" s="631"/>
      <c r="F28" s="631"/>
      <c r="G28" s="631"/>
      <c r="H28" s="631"/>
      <c r="I28" s="632"/>
      <c r="J28" s="629">
        <f>SUM(J24:K27)</f>
        <v>10</v>
      </c>
      <c r="K28" s="633"/>
    </row>
    <row r="29" spans="2:19" ht="51" customHeight="1">
      <c r="B29" s="446" t="s">
        <v>149</v>
      </c>
      <c r="C29" s="447"/>
      <c r="D29" s="447"/>
      <c r="E29" s="447"/>
      <c r="F29" s="447"/>
      <c r="G29" s="447"/>
      <c r="H29" s="447"/>
      <c r="I29" s="447"/>
      <c r="J29" s="447"/>
      <c r="K29" s="448"/>
    </row>
    <row r="30" spans="2:19">
      <c r="B30" s="505" t="s">
        <v>573</v>
      </c>
      <c r="C30" s="506"/>
      <c r="D30" s="506"/>
      <c r="E30" s="506"/>
      <c r="F30" s="506"/>
      <c r="G30" s="506"/>
      <c r="H30" s="506"/>
      <c r="I30" s="506"/>
      <c r="J30" s="506"/>
      <c r="K30" s="403"/>
    </row>
    <row r="31" spans="2:19">
      <c r="B31" s="24" t="s">
        <v>150</v>
      </c>
      <c r="C31" s="449" t="s">
        <v>151</v>
      </c>
      <c r="D31" s="427"/>
      <c r="E31" s="427"/>
      <c r="F31" s="427"/>
      <c r="G31" s="428"/>
      <c r="H31" s="504">
        <f>H40</f>
        <v>0.3680000000000001</v>
      </c>
      <c r="I31" s="428"/>
      <c r="J31" s="449" t="s">
        <v>122</v>
      </c>
      <c r="K31" s="480"/>
    </row>
    <row r="32" spans="2:19">
      <c r="B32" s="25" t="s">
        <v>123</v>
      </c>
      <c r="C32" s="488" t="s">
        <v>152</v>
      </c>
      <c r="D32" s="489"/>
      <c r="E32" s="489"/>
      <c r="F32" s="489"/>
      <c r="G32" s="490"/>
      <c r="H32" s="707">
        <v>0.2</v>
      </c>
      <c r="I32" s="708"/>
      <c r="J32" s="436">
        <f>H32*J13</f>
        <v>195.184</v>
      </c>
      <c r="K32" s="437"/>
    </row>
    <row r="33" spans="2:22">
      <c r="B33" s="402" t="s">
        <v>11</v>
      </c>
      <c r="C33" s="488" t="s">
        <v>153</v>
      </c>
      <c r="D33" s="489"/>
      <c r="E33" s="489"/>
      <c r="F33" s="489"/>
      <c r="G33" s="490"/>
      <c r="H33" s="707">
        <v>1.4999999999999999E-2</v>
      </c>
      <c r="I33" s="708"/>
      <c r="J33" s="436">
        <f>H33*J13</f>
        <v>14.638799999999998</v>
      </c>
      <c r="K33" s="437"/>
    </row>
    <row r="34" spans="2:22">
      <c r="B34" s="402" t="s">
        <v>125</v>
      </c>
      <c r="C34" s="488" t="s">
        <v>154</v>
      </c>
      <c r="D34" s="489"/>
      <c r="E34" s="489"/>
      <c r="F34" s="489"/>
      <c r="G34" s="490"/>
      <c r="H34" s="707">
        <v>0.01</v>
      </c>
      <c r="I34" s="708"/>
      <c r="J34" s="436">
        <f>H34*J13</f>
        <v>9.7591999999999999</v>
      </c>
      <c r="K34" s="437"/>
    </row>
    <row r="35" spans="2:22">
      <c r="B35" s="402" t="s">
        <v>139</v>
      </c>
      <c r="C35" s="488" t="s">
        <v>155</v>
      </c>
      <c r="D35" s="489"/>
      <c r="E35" s="489"/>
      <c r="F35" s="489"/>
      <c r="G35" s="490"/>
      <c r="H35" s="707">
        <v>2E-3</v>
      </c>
      <c r="I35" s="708"/>
      <c r="J35" s="436">
        <f>H35*J13</f>
        <v>1.95184</v>
      </c>
      <c r="K35" s="437"/>
      <c r="V35" s="9" t="s">
        <v>568</v>
      </c>
    </row>
    <row r="36" spans="2:22">
      <c r="B36" s="402" t="s">
        <v>140</v>
      </c>
      <c r="C36" s="488" t="s">
        <v>156</v>
      </c>
      <c r="D36" s="489"/>
      <c r="E36" s="489"/>
      <c r="F36" s="489"/>
      <c r="G36" s="490"/>
      <c r="H36" s="707">
        <v>2.5000000000000001E-2</v>
      </c>
      <c r="I36" s="708"/>
      <c r="J36" s="436">
        <f>H36*J13</f>
        <v>24.398</v>
      </c>
      <c r="K36" s="437"/>
      <c r="V36" s="9" t="s">
        <v>569</v>
      </c>
    </row>
    <row r="37" spans="2:22">
      <c r="B37" s="402" t="s">
        <v>141</v>
      </c>
      <c r="C37" s="488" t="s">
        <v>157</v>
      </c>
      <c r="D37" s="489"/>
      <c r="E37" s="489"/>
      <c r="F37" s="489"/>
      <c r="G37" s="490"/>
      <c r="H37" s="707">
        <v>0.08</v>
      </c>
      <c r="I37" s="708"/>
      <c r="J37" s="436">
        <f>H37*J13</f>
        <v>78.073599999999999</v>
      </c>
      <c r="K37" s="437"/>
      <c r="V37" s="9" t="s">
        <v>570</v>
      </c>
    </row>
    <row r="38" spans="2:22">
      <c r="B38" s="402" t="s">
        <v>158</v>
      </c>
      <c r="C38" s="488" t="s">
        <v>159</v>
      </c>
      <c r="D38" s="489"/>
      <c r="E38" s="489"/>
      <c r="F38" s="489"/>
      <c r="G38" s="490"/>
      <c r="H38" s="502">
        <v>0.03</v>
      </c>
      <c r="I38" s="503"/>
      <c r="J38" s="436">
        <f>H38*J13</f>
        <v>29.277599999999996</v>
      </c>
      <c r="K38" s="437"/>
    </row>
    <row r="39" spans="2:22">
      <c r="B39" s="402" t="s">
        <v>160</v>
      </c>
      <c r="C39" s="488" t="s">
        <v>161</v>
      </c>
      <c r="D39" s="489"/>
      <c r="E39" s="489"/>
      <c r="F39" s="489"/>
      <c r="G39" s="490"/>
      <c r="H39" s="707">
        <v>6.0000000000000001E-3</v>
      </c>
      <c r="I39" s="708"/>
      <c r="J39" s="436">
        <f>H39*J13</f>
        <v>5.8555200000000003</v>
      </c>
      <c r="K39" s="437"/>
    </row>
    <row r="40" spans="2:22">
      <c r="B40" s="507" t="s">
        <v>162</v>
      </c>
      <c r="C40" s="465"/>
      <c r="D40" s="465"/>
      <c r="E40" s="465"/>
      <c r="F40" s="465"/>
      <c r="G40" s="466"/>
      <c r="H40" s="508">
        <f>SUM(H32:H39)</f>
        <v>0.3680000000000001</v>
      </c>
      <c r="I40" s="509"/>
      <c r="J40" s="462">
        <f>SUM(J32:J39)</f>
        <v>359.13856000000004</v>
      </c>
      <c r="K40" s="510"/>
    </row>
    <row r="41" spans="2:22">
      <c r="B41" s="24" t="s">
        <v>163</v>
      </c>
      <c r="C41" s="449" t="s">
        <v>164</v>
      </c>
      <c r="D41" s="427"/>
      <c r="E41" s="427"/>
      <c r="F41" s="427"/>
      <c r="G41" s="428"/>
      <c r="H41" s="449" t="s">
        <v>165</v>
      </c>
      <c r="I41" s="428"/>
      <c r="J41" s="449" t="s">
        <v>122</v>
      </c>
      <c r="K41" s="480"/>
    </row>
    <row r="42" spans="2:22">
      <c r="B42" s="25" t="s">
        <v>123</v>
      </c>
      <c r="C42" s="488" t="s">
        <v>166</v>
      </c>
      <c r="D42" s="489"/>
      <c r="E42" s="489"/>
      <c r="F42" s="489"/>
      <c r="G42" s="490"/>
      <c r="H42" s="709">
        <v>8.3299999999999999E-2</v>
      </c>
      <c r="I42" s="710"/>
      <c r="J42" s="436">
        <f>H42*J13</f>
        <v>81.294135999999995</v>
      </c>
      <c r="K42" s="437"/>
    </row>
    <row r="43" spans="2:22">
      <c r="B43" s="16" t="s">
        <v>123</v>
      </c>
      <c r="C43" s="515" t="s">
        <v>167</v>
      </c>
      <c r="D43" s="516"/>
      <c r="E43" s="516"/>
      <c r="F43" s="516"/>
      <c r="G43" s="517"/>
      <c r="H43" s="711">
        <v>1.4E-2</v>
      </c>
      <c r="I43" s="712"/>
      <c r="J43" s="518">
        <f>H43*J14</f>
        <v>13.662879999999999</v>
      </c>
      <c r="K43" s="519"/>
    </row>
    <row r="44" spans="2:22">
      <c r="B44" s="507" t="s">
        <v>168</v>
      </c>
      <c r="C44" s="465"/>
      <c r="D44" s="465"/>
      <c r="E44" s="465"/>
      <c r="F44" s="465"/>
      <c r="G44" s="466"/>
      <c r="H44" s="511">
        <f>H42+H43</f>
        <v>9.7299999999999998E-2</v>
      </c>
      <c r="I44" s="512"/>
      <c r="J44" s="513">
        <f>J42+J43</f>
        <v>94.957015999999996</v>
      </c>
      <c r="K44" s="514"/>
    </row>
    <row r="45" spans="2:22">
      <c r="B45" s="24" t="s">
        <v>169</v>
      </c>
      <c r="C45" s="449" t="s">
        <v>164</v>
      </c>
      <c r="D45" s="427"/>
      <c r="E45" s="427"/>
      <c r="F45" s="427"/>
      <c r="G45" s="428"/>
      <c r="H45" s="449" t="s">
        <v>165</v>
      </c>
      <c r="I45" s="428"/>
      <c r="J45" s="449" t="s">
        <v>122</v>
      </c>
      <c r="K45" s="480"/>
    </row>
    <row r="46" spans="2:22">
      <c r="B46" s="25" t="s">
        <v>123</v>
      </c>
      <c r="C46" s="488" t="s">
        <v>170</v>
      </c>
      <c r="D46" s="489"/>
      <c r="E46" s="489"/>
      <c r="F46" s="489"/>
      <c r="G46" s="490"/>
      <c r="H46" s="707">
        <v>6.4999999999999997E-3</v>
      </c>
      <c r="I46" s="708"/>
      <c r="J46" s="436">
        <f>H46*J14</f>
        <v>6.3434799999999996</v>
      </c>
      <c r="K46" s="437"/>
    </row>
    <row r="47" spans="2:22">
      <c r="B47" s="402" t="s">
        <v>11</v>
      </c>
      <c r="C47" s="481" t="s">
        <v>171</v>
      </c>
      <c r="D47" s="447"/>
      <c r="E47" s="447"/>
      <c r="F47" s="447"/>
      <c r="G47" s="487"/>
      <c r="H47" s="709">
        <v>1.1000000000000001E-3</v>
      </c>
      <c r="I47" s="710"/>
      <c r="J47" s="436">
        <f>J14*H47</f>
        <v>1.073512</v>
      </c>
      <c r="K47" s="437"/>
    </row>
    <row r="48" spans="2:22">
      <c r="B48" s="507" t="s">
        <v>172</v>
      </c>
      <c r="C48" s="465"/>
      <c r="D48" s="465"/>
      <c r="E48" s="465"/>
      <c r="F48" s="465"/>
      <c r="G48" s="466"/>
      <c r="H48" s="511">
        <f>H46+H47</f>
        <v>7.6E-3</v>
      </c>
      <c r="I48" s="512"/>
      <c r="J48" s="462">
        <f>SUM(J46:J47)</f>
        <v>7.4169919999999996</v>
      </c>
      <c r="K48" s="510"/>
    </row>
    <row r="49" spans="2:17">
      <c r="B49" s="24" t="s">
        <v>173</v>
      </c>
      <c r="C49" s="449" t="s">
        <v>174</v>
      </c>
      <c r="D49" s="427"/>
      <c r="E49" s="427"/>
      <c r="F49" s="427"/>
      <c r="G49" s="428"/>
      <c r="H49" s="449" t="s">
        <v>165</v>
      </c>
      <c r="I49" s="428"/>
      <c r="J49" s="449" t="s">
        <v>122</v>
      </c>
      <c r="K49" s="480"/>
    </row>
    <row r="50" spans="2:17">
      <c r="B50" s="25" t="s">
        <v>123</v>
      </c>
      <c r="C50" s="488" t="s">
        <v>175</v>
      </c>
      <c r="D50" s="489"/>
      <c r="E50" s="489"/>
      <c r="F50" s="489"/>
      <c r="G50" s="490"/>
      <c r="H50" s="707">
        <v>4.1999999999999997E-3</v>
      </c>
      <c r="I50" s="708"/>
      <c r="J50" s="436">
        <f>H50*J14</f>
        <v>4.0988639999999998</v>
      </c>
      <c r="K50" s="437"/>
    </row>
    <row r="51" spans="2:17">
      <c r="B51" s="402" t="s">
        <v>11</v>
      </c>
      <c r="C51" s="488" t="s">
        <v>176</v>
      </c>
      <c r="D51" s="489"/>
      <c r="E51" s="489"/>
      <c r="F51" s="489"/>
      <c r="G51" s="490"/>
      <c r="H51" s="713">
        <v>3.5999999999999997E-2</v>
      </c>
      <c r="I51" s="710"/>
      <c r="J51" s="436">
        <f>H50*J50</f>
        <v>1.7215228799999999E-2</v>
      </c>
      <c r="K51" s="437"/>
    </row>
    <row r="52" spans="2:17">
      <c r="B52" s="402" t="s">
        <v>125</v>
      </c>
      <c r="C52" s="488" t="s">
        <v>177</v>
      </c>
      <c r="D52" s="489"/>
      <c r="E52" s="489"/>
      <c r="F52" s="489"/>
      <c r="G52" s="490"/>
      <c r="H52" s="709">
        <v>2E-3</v>
      </c>
      <c r="I52" s="710"/>
      <c r="J52" s="436">
        <f>H52*J53</f>
        <v>3.7943769599999996E-2</v>
      </c>
      <c r="K52" s="437"/>
    </row>
    <row r="53" spans="2:17">
      <c r="B53" s="402" t="s">
        <v>139</v>
      </c>
      <c r="C53" s="488" t="s">
        <v>178</v>
      </c>
      <c r="D53" s="489"/>
      <c r="E53" s="489"/>
      <c r="F53" s="489"/>
      <c r="G53" s="490"/>
      <c r="H53" s="707">
        <v>1.9439999999999999E-2</v>
      </c>
      <c r="I53" s="708"/>
      <c r="J53" s="436">
        <f>H53*J14</f>
        <v>18.971884799999998</v>
      </c>
      <c r="K53" s="437"/>
    </row>
    <row r="54" spans="2:17">
      <c r="B54" s="402" t="s">
        <v>140</v>
      </c>
      <c r="C54" s="520" t="s">
        <v>179</v>
      </c>
      <c r="D54" s="521"/>
      <c r="E54" s="521"/>
      <c r="F54" s="521"/>
      <c r="G54" s="522"/>
      <c r="H54" s="709">
        <v>3.2659999999999998E-3</v>
      </c>
      <c r="I54" s="710"/>
      <c r="J54" s="436">
        <f>H54*J53</f>
        <v>6.1962175756799992E-2</v>
      </c>
      <c r="K54" s="437"/>
    </row>
    <row r="55" spans="2:17">
      <c r="B55" s="402" t="s">
        <v>141</v>
      </c>
      <c r="C55" s="488" t="s">
        <v>180</v>
      </c>
      <c r="D55" s="489"/>
      <c r="E55" s="489"/>
      <c r="F55" s="489"/>
      <c r="G55" s="490"/>
      <c r="H55" s="707">
        <v>2E-3</v>
      </c>
      <c r="I55" s="708"/>
      <c r="J55" s="436">
        <f>H55*J53</f>
        <v>3.7943769599999996E-2</v>
      </c>
      <c r="K55" s="437"/>
    </row>
    <row r="56" spans="2:17">
      <c r="B56" s="507" t="s">
        <v>181</v>
      </c>
      <c r="C56" s="465"/>
      <c r="D56" s="465"/>
      <c r="E56" s="465"/>
      <c r="F56" s="465"/>
      <c r="G56" s="466"/>
      <c r="H56" s="511">
        <f>SUM(H50:H55)</f>
        <v>6.6906000000000007E-2</v>
      </c>
      <c r="I56" s="512"/>
      <c r="J56" s="462">
        <f>SUM(J50:K55)</f>
        <v>23.225813743756795</v>
      </c>
      <c r="K56" s="510"/>
    </row>
    <row r="57" spans="2:17" ht="51.75" customHeight="1">
      <c r="B57" s="446" t="s">
        <v>182</v>
      </c>
      <c r="C57" s="447"/>
      <c r="D57" s="447"/>
      <c r="E57" s="447"/>
      <c r="F57" s="447"/>
      <c r="G57" s="447"/>
      <c r="H57" s="447"/>
      <c r="I57" s="447"/>
      <c r="J57" s="447"/>
      <c r="K57" s="448"/>
    </row>
    <row r="58" spans="2:17">
      <c r="B58" s="24" t="s">
        <v>183</v>
      </c>
      <c r="C58" s="449" t="s">
        <v>164</v>
      </c>
      <c r="D58" s="427"/>
      <c r="E58" s="427"/>
      <c r="F58" s="427"/>
      <c r="G58" s="428"/>
      <c r="H58" s="449" t="s">
        <v>165</v>
      </c>
      <c r="I58" s="428"/>
      <c r="J58" s="449" t="s">
        <v>122</v>
      </c>
      <c r="K58" s="480"/>
    </row>
    <row r="59" spans="2:17">
      <c r="B59" s="25" t="s">
        <v>123</v>
      </c>
      <c r="C59" s="488" t="s">
        <v>184</v>
      </c>
      <c r="D59" s="489"/>
      <c r="E59" s="489"/>
      <c r="F59" s="489"/>
      <c r="G59" s="490"/>
      <c r="H59" s="707">
        <v>0.1111</v>
      </c>
      <c r="I59" s="708"/>
      <c r="J59" s="436">
        <f>H59*J13</f>
        <v>108.424712</v>
      </c>
      <c r="K59" s="437"/>
      <c r="P59" s="26"/>
    </row>
    <row r="60" spans="2:17">
      <c r="B60" s="402" t="s">
        <v>11</v>
      </c>
      <c r="C60" s="488" t="s">
        <v>185</v>
      </c>
      <c r="D60" s="489"/>
      <c r="E60" s="489"/>
      <c r="F60" s="489"/>
      <c r="G60" s="490"/>
      <c r="H60" s="707">
        <v>1.66E-2</v>
      </c>
      <c r="I60" s="708"/>
      <c r="J60" s="436">
        <f>H60*J13</f>
        <v>16.200271999999998</v>
      </c>
      <c r="K60" s="437"/>
      <c r="M60" s="27"/>
      <c r="P60" s="26"/>
    </row>
    <row r="61" spans="2:17">
      <c r="B61" s="402" t="s">
        <v>125</v>
      </c>
      <c r="C61" s="488" t="s">
        <v>186</v>
      </c>
      <c r="D61" s="489"/>
      <c r="E61" s="489"/>
      <c r="F61" s="489"/>
      <c r="G61" s="490"/>
      <c r="H61" s="707">
        <v>2.0000000000000001E-4</v>
      </c>
      <c r="I61" s="708"/>
      <c r="J61" s="436">
        <f>H61*J13</f>
        <v>0.195184</v>
      </c>
      <c r="K61" s="437"/>
      <c r="P61" s="26"/>
    </row>
    <row r="62" spans="2:17">
      <c r="B62" s="402" t="s">
        <v>139</v>
      </c>
      <c r="C62" s="488" t="s">
        <v>187</v>
      </c>
      <c r="D62" s="489"/>
      <c r="E62" s="489"/>
      <c r="F62" s="489"/>
      <c r="G62" s="490"/>
      <c r="H62" s="707">
        <v>2.8E-3</v>
      </c>
      <c r="I62" s="708"/>
      <c r="J62" s="436">
        <f>H62*J13</f>
        <v>2.7325759999999999</v>
      </c>
      <c r="K62" s="437"/>
      <c r="N62" s="28"/>
      <c r="P62" s="26"/>
      <c r="Q62" s="28"/>
    </row>
    <row r="63" spans="2:17">
      <c r="B63" s="402" t="s">
        <v>140</v>
      </c>
      <c r="C63" s="488" t="s">
        <v>188</v>
      </c>
      <c r="D63" s="489"/>
      <c r="E63" s="489"/>
      <c r="F63" s="489"/>
      <c r="G63" s="490"/>
      <c r="H63" s="707">
        <v>2.9999999999999997E-4</v>
      </c>
      <c r="I63" s="708"/>
      <c r="J63" s="436">
        <f>H63*J13</f>
        <v>0.29277599999999998</v>
      </c>
      <c r="K63" s="437"/>
    </row>
    <row r="64" spans="2:17">
      <c r="B64" s="523" t="s">
        <v>190</v>
      </c>
      <c r="C64" s="524"/>
      <c r="D64" s="524"/>
      <c r="E64" s="524"/>
      <c r="F64" s="524"/>
      <c r="G64" s="525"/>
      <c r="H64" s="526">
        <f>H63+H62+H61+H60+H59</f>
        <v>0.13100000000000001</v>
      </c>
      <c r="I64" s="527"/>
      <c r="J64" s="528">
        <f>SUM(J59:J63)</f>
        <v>127.84551999999999</v>
      </c>
      <c r="K64" s="529"/>
    </row>
    <row r="65" spans="2:11">
      <c r="B65" s="29" t="s">
        <v>158</v>
      </c>
      <c r="C65" s="530" t="s">
        <v>191</v>
      </c>
      <c r="D65" s="531"/>
      <c r="E65" s="531"/>
      <c r="F65" s="531"/>
      <c r="G65" s="532"/>
      <c r="H65" s="526">
        <v>2.2700000000000001E-2</v>
      </c>
      <c r="I65" s="527"/>
      <c r="J65" s="484">
        <f>H65*J64</f>
        <v>2.9020933040000001</v>
      </c>
      <c r="K65" s="486"/>
    </row>
    <row r="66" spans="2:11">
      <c r="B66" s="523" t="s">
        <v>192</v>
      </c>
      <c r="C66" s="524"/>
      <c r="D66" s="524"/>
      <c r="E66" s="524"/>
      <c r="F66" s="524"/>
      <c r="G66" s="525"/>
      <c r="H66" s="535">
        <f>H64+H65</f>
        <v>0.1537</v>
      </c>
      <c r="I66" s="536"/>
      <c r="J66" s="513">
        <f>SUM(J64:J65)</f>
        <v>130.747613304</v>
      </c>
      <c r="K66" s="514"/>
    </row>
    <row r="67" spans="2:11">
      <c r="B67" s="24" t="s">
        <v>99</v>
      </c>
      <c r="C67" s="449" t="s">
        <v>193</v>
      </c>
      <c r="D67" s="537"/>
      <c r="E67" s="537"/>
      <c r="F67" s="537"/>
      <c r="G67" s="538"/>
      <c r="H67" s="449" t="s">
        <v>165</v>
      </c>
      <c r="I67" s="428"/>
      <c r="J67" s="449" t="s">
        <v>122</v>
      </c>
      <c r="K67" s="480"/>
    </row>
    <row r="68" spans="2:11">
      <c r="B68" s="15" t="s">
        <v>150</v>
      </c>
      <c r="C68" s="488" t="s">
        <v>194</v>
      </c>
      <c r="D68" s="489"/>
      <c r="E68" s="489"/>
      <c r="F68" s="489"/>
      <c r="G68" s="490"/>
      <c r="H68" s="533">
        <f>+H40</f>
        <v>0.3680000000000001</v>
      </c>
      <c r="I68" s="534"/>
      <c r="J68" s="436">
        <f>H68*J14</f>
        <v>359.1385600000001</v>
      </c>
      <c r="K68" s="437"/>
    </row>
    <row r="69" spans="2:11">
      <c r="B69" s="401" t="s">
        <v>163</v>
      </c>
      <c r="C69" s="488" t="s">
        <v>195</v>
      </c>
      <c r="D69" s="489"/>
      <c r="E69" s="489"/>
      <c r="F69" s="489"/>
      <c r="G69" s="490"/>
      <c r="H69" s="533">
        <f>H44</f>
        <v>9.7299999999999998E-2</v>
      </c>
      <c r="I69" s="534"/>
      <c r="J69" s="436">
        <f>H69*J14</f>
        <v>94.957015999999996</v>
      </c>
      <c r="K69" s="437"/>
    </row>
    <row r="70" spans="2:11">
      <c r="B70" s="401" t="s">
        <v>169</v>
      </c>
      <c r="C70" s="488" t="s">
        <v>170</v>
      </c>
      <c r="D70" s="489"/>
      <c r="E70" s="489"/>
      <c r="F70" s="489"/>
      <c r="G70" s="490"/>
      <c r="H70" s="533">
        <f>H48</f>
        <v>7.6E-3</v>
      </c>
      <c r="I70" s="534"/>
      <c r="J70" s="436">
        <f>H70*J14</f>
        <v>7.4169919999999996</v>
      </c>
      <c r="K70" s="437"/>
    </row>
    <row r="71" spans="2:11">
      <c r="B71" s="401" t="s">
        <v>173</v>
      </c>
      <c r="C71" s="488" t="s">
        <v>196</v>
      </c>
      <c r="D71" s="489"/>
      <c r="E71" s="489"/>
      <c r="F71" s="489"/>
      <c r="G71" s="490"/>
      <c r="H71" s="539">
        <f>H56</f>
        <v>6.6906000000000007E-2</v>
      </c>
      <c r="I71" s="540"/>
      <c r="J71" s="541">
        <f>J56</f>
        <v>23.225813743756795</v>
      </c>
      <c r="K71" s="542"/>
    </row>
    <row r="72" spans="2:11">
      <c r="B72" s="401" t="s">
        <v>183</v>
      </c>
      <c r="C72" s="488" t="s">
        <v>197</v>
      </c>
      <c r="D72" s="489"/>
      <c r="E72" s="489"/>
      <c r="F72" s="489"/>
      <c r="G72" s="490"/>
      <c r="H72" s="539">
        <f>H66</f>
        <v>0.1537</v>
      </c>
      <c r="I72" s="540"/>
      <c r="J72" s="541">
        <f>J66</f>
        <v>130.747613304</v>
      </c>
      <c r="K72" s="542"/>
    </row>
    <row r="73" spans="2:11">
      <c r="B73" s="543" t="s">
        <v>198</v>
      </c>
      <c r="C73" s="544"/>
      <c r="D73" s="544"/>
      <c r="E73" s="544"/>
      <c r="F73" s="544"/>
      <c r="G73" s="545"/>
      <c r="H73" s="546">
        <f>SUM(H68:H72)</f>
        <v>0.69350600000000018</v>
      </c>
      <c r="I73" s="547"/>
      <c r="J73" s="548">
        <f>SUM(J68:J72)</f>
        <v>615.48599504775689</v>
      </c>
      <c r="K73" s="549"/>
    </row>
    <row r="74" spans="2:11">
      <c r="B74" s="562" t="s">
        <v>199</v>
      </c>
      <c r="C74" s="563"/>
      <c r="D74" s="563"/>
      <c r="E74" s="563"/>
      <c r="F74" s="563"/>
      <c r="G74" s="563"/>
      <c r="H74" s="563"/>
      <c r="I74" s="563"/>
      <c r="J74" s="563"/>
      <c r="K74" s="30"/>
    </row>
    <row r="75" spans="2:11">
      <c r="B75" s="564" t="s">
        <v>200</v>
      </c>
      <c r="C75" s="565"/>
      <c r="D75" s="565"/>
      <c r="E75" s="565"/>
      <c r="F75" s="565"/>
      <c r="G75" s="565"/>
      <c r="H75" s="565"/>
      <c r="I75" s="565"/>
      <c r="J75" s="565"/>
      <c r="K75" s="30"/>
    </row>
    <row r="76" spans="2:11">
      <c r="B76" s="551" t="s">
        <v>201</v>
      </c>
      <c r="C76" s="552"/>
      <c r="D76" s="552"/>
      <c r="E76" s="552"/>
      <c r="F76" s="552"/>
      <c r="G76" s="552"/>
      <c r="H76" s="552"/>
      <c r="I76" s="552"/>
      <c r="J76" s="552"/>
      <c r="K76" s="566"/>
    </row>
    <row r="77" spans="2:11">
      <c r="B77" s="550" t="s">
        <v>126</v>
      </c>
      <c r="C77" s="537"/>
      <c r="D77" s="537"/>
      <c r="E77" s="537"/>
      <c r="F77" s="537"/>
      <c r="G77" s="537"/>
      <c r="H77" s="537"/>
      <c r="I77" s="538"/>
      <c r="J77" s="31">
        <f>J14</f>
        <v>975.92</v>
      </c>
      <c r="K77" s="30"/>
    </row>
    <row r="78" spans="2:11">
      <c r="B78" s="550" t="s">
        <v>142</v>
      </c>
      <c r="C78" s="537"/>
      <c r="D78" s="537"/>
      <c r="E78" s="537"/>
      <c r="F78" s="537"/>
      <c r="G78" s="537"/>
      <c r="H78" s="537"/>
      <c r="I78" s="538"/>
      <c r="J78" s="31">
        <f>J21</f>
        <v>405.16480000000007</v>
      </c>
      <c r="K78" s="30"/>
    </row>
    <row r="79" spans="2:11">
      <c r="B79" s="550" t="s">
        <v>148</v>
      </c>
      <c r="C79" s="537"/>
      <c r="D79" s="537"/>
      <c r="E79" s="537"/>
      <c r="F79" s="537"/>
      <c r="G79" s="537"/>
      <c r="H79" s="537"/>
      <c r="I79" s="538"/>
      <c r="J79" s="31">
        <f>J28</f>
        <v>10</v>
      </c>
      <c r="K79" s="30"/>
    </row>
    <row r="80" spans="2:11">
      <c r="B80" s="550" t="s">
        <v>198</v>
      </c>
      <c r="C80" s="537"/>
      <c r="D80" s="537"/>
      <c r="E80" s="537"/>
      <c r="F80" s="537"/>
      <c r="G80" s="537"/>
      <c r="H80" s="537"/>
      <c r="I80" s="538"/>
      <c r="J80" s="32">
        <f>J73</f>
        <v>615.48599504775689</v>
      </c>
      <c r="K80" s="30"/>
    </row>
    <row r="81" spans="2:13">
      <c r="B81" s="551" t="s">
        <v>202</v>
      </c>
      <c r="C81" s="552"/>
      <c r="D81" s="552"/>
      <c r="E81" s="552"/>
      <c r="F81" s="552"/>
      <c r="G81" s="552"/>
      <c r="H81" s="552"/>
      <c r="I81" s="553"/>
      <c r="J81" s="33">
        <f>SUM(J77:J80)</f>
        <v>2006.570795047757</v>
      </c>
      <c r="K81" s="30"/>
      <c r="L81" s="34"/>
    </row>
    <row r="82" spans="2:13">
      <c r="B82" s="221" t="s">
        <v>203</v>
      </c>
      <c r="C82" s="398"/>
      <c r="D82" s="398"/>
      <c r="E82" s="398"/>
      <c r="F82" s="398"/>
      <c r="G82" s="398"/>
      <c r="H82" s="398"/>
      <c r="I82" s="398"/>
      <c r="J82" s="400"/>
      <c r="K82" s="30"/>
    </row>
    <row r="83" spans="2:13">
      <c r="B83" s="15" t="s">
        <v>204</v>
      </c>
      <c r="C83" s="554" t="s">
        <v>205</v>
      </c>
      <c r="D83" s="555"/>
      <c r="E83" s="555"/>
      <c r="F83" s="555"/>
      <c r="G83" s="35" t="s">
        <v>165</v>
      </c>
      <c r="H83" s="556" t="s">
        <v>122</v>
      </c>
      <c r="I83" s="557"/>
      <c r="J83" s="400"/>
      <c r="K83" s="30"/>
    </row>
    <row r="84" spans="2:13">
      <c r="B84" s="15" t="s">
        <v>123</v>
      </c>
      <c r="C84" s="558" t="s">
        <v>206</v>
      </c>
      <c r="D84" s="559"/>
      <c r="E84" s="559"/>
      <c r="F84" s="559"/>
      <c r="G84" s="405">
        <v>0</v>
      </c>
      <c r="H84" s="560">
        <f>J81*G84</f>
        <v>0</v>
      </c>
      <c r="I84" s="561"/>
      <c r="J84" s="400"/>
      <c r="K84" s="30"/>
    </row>
    <row r="85" spans="2:13" ht="28.5" customHeight="1">
      <c r="B85" s="578" t="s">
        <v>207</v>
      </c>
      <c r="C85" s="579"/>
      <c r="D85" s="579"/>
      <c r="E85" s="579"/>
      <c r="F85" s="579"/>
      <c r="G85" s="580"/>
      <c r="H85" s="580"/>
      <c r="I85" s="580"/>
      <c r="J85" s="400"/>
      <c r="K85" s="30"/>
    </row>
    <row r="86" spans="2:13">
      <c r="B86" s="36" t="s">
        <v>11</v>
      </c>
      <c r="C86" s="581" t="s">
        <v>208</v>
      </c>
      <c r="D86" s="582"/>
      <c r="E86" s="582"/>
      <c r="F86" s="583"/>
      <c r="G86" s="406">
        <v>0</v>
      </c>
      <c r="H86" s="528">
        <f>G86*(H84+J81)</f>
        <v>0</v>
      </c>
      <c r="I86" s="584"/>
      <c r="J86" s="400"/>
      <c r="K86" s="30"/>
    </row>
    <row r="87" spans="2:13" ht="30" customHeight="1">
      <c r="B87" s="578" t="s">
        <v>209</v>
      </c>
      <c r="C87" s="579"/>
      <c r="D87" s="579"/>
      <c r="E87" s="579"/>
      <c r="F87" s="579"/>
      <c r="G87" s="580"/>
      <c r="H87" s="580"/>
      <c r="I87" s="580"/>
      <c r="J87" s="31"/>
      <c r="K87" s="30"/>
    </row>
    <row r="88" spans="2:13">
      <c r="B88" s="567" t="s">
        <v>210</v>
      </c>
      <c r="C88" s="568"/>
      <c r="D88" s="568"/>
      <c r="E88" s="568"/>
      <c r="F88" s="568"/>
      <c r="G88" s="568"/>
      <c r="H88" s="568"/>
      <c r="I88" s="568"/>
      <c r="J88" s="31">
        <f>J81+H84+H86</f>
        <v>2006.570795047757</v>
      </c>
      <c r="K88" s="37"/>
    </row>
    <row r="89" spans="2:13">
      <c r="B89" s="569" t="s">
        <v>211</v>
      </c>
      <c r="C89" s="570"/>
      <c r="D89" s="570"/>
      <c r="E89" s="570"/>
      <c r="F89" s="570"/>
      <c r="G89" s="570"/>
      <c r="H89" s="571"/>
      <c r="I89" s="38">
        <f>1-G92</f>
        <v>0.91349999999999998</v>
      </c>
      <c r="J89" s="31"/>
      <c r="K89" s="37"/>
    </row>
    <row r="90" spans="2:13">
      <c r="B90" s="572" t="s">
        <v>212</v>
      </c>
      <c r="C90" s="573"/>
      <c r="D90" s="573"/>
      <c r="E90" s="575" t="s">
        <v>213</v>
      </c>
      <c r="F90" s="576" t="s">
        <v>214</v>
      </c>
      <c r="G90" s="576"/>
      <c r="H90" s="576"/>
      <c r="I90" s="575" t="s">
        <v>215</v>
      </c>
      <c r="J90" s="31"/>
      <c r="K90" s="37"/>
    </row>
    <row r="91" spans="2:13">
      <c r="B91" s="574"/>
      <c r="C91" s="573"/>
      <c r="D91" s="573"/>
      <c r="E91" s="573"/>
      <c r="F91" s="577" t="s">
        <v>216</v>
      </c>
      <c r="G91" s="577"/>
      <c r="H91" s="577"/>
      <c r="I91" s="573"/>
      <c r="J91" s="31">
        <f>J88/I89</f>
        <v>2196.5744882843537</v>
      </c>
      <c r="K91" s="37"/>
      <c r="L91" s="39"/>
    </row>
    <row r="92" spans="2:13">
      <c r="B92" s="15" t="s">
        <v>125</v>
      </c>
      <c r="C92" s="588" t="s">
        <v>217</v>
      </c>
      <c r="D92" s="589"/>
      <c r="E92" s="589"/>
      <c r="F92" s="590"/>
      <c r="G92" s="715">
        <f>G94+G95+G97</f>
        <v>8.6499999999999994E-2</v>
      </c>
      <c r="H92" s="560">
        <f>+J91*G92</f>
        <v>190.00369323659658</v>
      </c>
      <c r="I92" s="560"/>
      <c r="J92" s="31"/>
      <c r="K92" s="37"/>
    </row>
    <row r="93" spans="2:13">
      <c r="B93" s="15">
        <v>1</v>
      </c>
      <c r="C93" s="397" t="s">
        <v>218</v>
      </c>
      <c r="D93" s="399"/>
      <c r="E93" s="399"/>
      <c r="F93" s="399"/>
      <c r="G93" s="404"/>
      <c r="H93" s="580"/>
      <c r="I93" s="580"/>
      <c r="J93" s="31"/>
      <c r="K93" s="37"/>
      <c r="M93" s="39"/>
    </row>
    <row r="94" spans="2:13">
      <c r="B94" s="714" t="s">
        <v>219</v>
      </c>
      <c r="C94" s="520" t="s">
        <v>252</v>
      </c>
      <c r="D94" s="592"/>
      <c r="E94" s="592"/>
      <c r="F94" s="593"/>
      <c r="G94" s="405">
        <v>0.03</v>
      </c>
      <c r="H94" s="580">
        <f>G94*J$91</f>
        <v>65.897234648530613</v>
      </c>
      <c r="I94" s="580"/>
      <c r="J94" s="31"/>
      <c r="K94" s="37"/>
    </row>
    <row r="95" spans="2:13">
      <c r="B95" s="714" t="s">
        <v>220</v>
      </c>
      <c r="C95" s="591" t="s">
        <v>251</v>
      </c>
      <c r="D95" s="591"/>
      <c r="E95" s="591"/>
      <c r="F95" s="591"/>
      <c r="G95" s="405">
        <v>6.4999999999999997E-3</v>
      </c>
      <c r="H95" s="580">
        <f>G95*J$91</f>
        <v>14.277734173848298</v>
      </c>
      <c r="I95" s="580"/>
      <c r="J95" s="31"/>
      <c r="K95" s="37"/>
    </row>
    <row r="96" spans="2:13">
      <c r="B96" s="15">
        <v>2</v>
      </c>
      <c r="C96" s="501" t="s">
        <v>221</v>
      </c>
      <c r="D96" s="594"/>
      <c r="E96" s="594"/>
      <c r="F96" s="595"/>
      <c r="G96" s="404"/>
      <c r="H96" s="580"/>
      <c r="I96" s="580"/>
      <c r="J96" s="31"/>
      <c r="K96" s="37"/>
    </row>
    <row r="97" spans="2:11">
      <c r="B97" s="714" t="s">
        <v>219</v>
      </c>
      <c r="C97" s="488" t="s">
        <v>222</v>
      </c>
      <c r="D97" s="596"/>
      <c r="E97" s="596"/>
      <c r="F97" s="597"/>
      <c r="G97" s="716">
        <v>0.05</v>
      </c>
      <c r="H97" s="580">
        <f>G97*J$91</f>
        <v>109.82872441421769</v>
      </c>
      <c r="I97" s="580"/>
      <c r="J97" s="31"/>
      <c r="K97" s="37"/>
    </row>
    <row r="98" spans="2:11">
      <c r="B98" s="585" t="s">
        <v>223</v>
      </c>
      <c r="C98" s="586"/>
      <c r="D98" s="586"/>
      <c r="E98" s="586"/>
      <c r="F98" s="586"/>
      <c r="G98" s="586"/>
      <c r="H98" s="587">
        <f>H94+H95+H97+H84+H86</f>
        <v>190.0036932365966</v>
      </c>
      <c r="I98" s="587"/>
      <c r="J98" s="31"/>
      <c r="K98" s="37"/>
    </row>
    <row r="99" spans="2:11">
      <c r="B99" s="609"/>
      <c r="C99" s="610"/>
      <c r="D99" s="610"/>
      <c r="E99" s="610"/>
      <c r="F99" s="610"/>
      <c r="G99" s="610"/>
      <c r="H99" s="610"/>
      <c r="I99" s="610"/>
      <c r="J99" s="611"/>
      <c r="K99" s="30"/>
    </row>
    <row r="100" spans="2:11">
      <c r="B100" s="612"/>
      <c r="C100" s="613"/>
      <c r="D100" s="613"/>
      <c r="E100" s="613"/>
      <c r="F100" s="613"/>
      <c r="G100" s="613"/>
      <c r="H100" s="613"/>
      <c r="I100" s="613"/>
      <c r="J100" s="614"/>
      <c r="K100" s="30"/>
    </row>
    <row r="101" spans="2:11">
      <c r="B101" s="615" t="s">
        <v>224</v>
      </c>
      <c r="C101" s="616"/>
      <c r="D101" s="616"/>
      <c r="E101" s="616"/>
      <c r="F101" s="616"/>
      <c r="G101" s="616"/>
      <c r="H101" s="617" t="s">
        <v>122</v>
      </c>
      <c r="I101" s="618"/>
      <c r="J101" s="31"/>
      <c r="K101" s="30"/>
    </row>
    <row r="102" spans="2:11">
      <c r="B102" s="598" t="s">
        <v>557</v>
      </c>
      <c r="C102" s="559"/>
      <c r="D102" s="559"/>
      <c r="E102" s="559"/>
      <c r="F102" s="559"/>
      <c r="G102" s="559"/>
      <c r="H102" s="580">
        <f>J77</f>
        <v>975.92</v>
      </c>
      <c r="I102" s="580"/>
      <c r="J102" s="400"/>
      <c r="K102" s="30"/>
    </row>
    <row r="103" spans="2:11">
      <c r="B103" s="598" t="s">
        <v>558</v>
      </c>
      <c r="C103" s="559"/>
      <c r="D103" s="559"/>
      <c r="E103" s="559"/>
      <c r="F103" s="559"/>
      <c r="G103" s="559"/>
      <c r="H103" s="580">
        <f>J78</f>
        <v>405.16480000000007</v>
      </c>
      <c r="I103" s="580"/>
      <c r="J103" s="400"/>
      <c r="K103" s="30"/>
    </row>
    <row r="104" spans="2:11">
      <c r="B104" s="598" t="s">
        <v>559</v>
      </c>
      <c r="C104" s="559"/>
      <c r="D104" s="559"/>
      <c r="E104" s="559"/>
      <c r="F104" s="559"/>
      <c r="G104" s="559"/>
      <c r="H104" s="580">
        <f>J79</f>
        <v>10</v>
      </c>
      <c r="I104" s="580"/>
      <c r="J104" s="400"/>
      <c r="K104" s="30"/>
    </row>
    <row r="105" spans="2:11">
      <c r="B105" s="598" t="s">
        <v>560</v>
      </c>
      <c r="C105" s="559"/>
      <c r="D105" s="559"/>
      <c r="E105" s="559"/>
      <c r="F105" s="559"/>
      <c r="G105" s="559"/>
      <c r="H105" s="580">
        <f>J80</f>
        <v>615.48599504775689</v>
      </c>
      <c r="I105" s="580"/>
      <c r="J105" s="400"/>
      <c r="K105" s="30"/>
    </row>
    <row r="106" spans="2:11">
      <c r="B106" s="598" t="s">
        <v>561</v>
      </c>
      <c r="C106" s="559"/>
      <c r="D106" s="559"/>
      <c r="E106" s="559"/>
      <c r="F106" s="559"/>
      <c r="G106" s="559"/>
      <c r="H106" s="580">
        <f>H98</f>
        <v>190.0036932365966</v>
      </c>
      <c r="I106" s="580"/>
      <c r="J106" s="400"/>
      <c r="K106" s="30"/>
    </row>
    <row r="107" spans="2:11">
      <c r="B107" s="605" t="s">
        <v>225</v>
      </c>
      <c r="C107" s="606"/>
      <c r="D107" s="606"/>
      <c r="E107" s="606"/>
      <c r="F107" s="606"/>
      <c r="G107" s="606"/>
      <c r="H107" s="607">
        <f>SUM(H102:H106)</f>
        <v>2196.5744882843537</v>
      </c>
      <c r="I107" s="607"/>
      <c r="J107" s="400"/>
      <c r="K107" s="30"/>
    </row>
    <row r="108" spans="2:11">
      <c r="B108" s="608"/>
      <c r="C108" s="427"/>
      <c r="D108" s="427"/>
      <c r="E108" s="427"/>
      <c r="F108" s="427"/>
      <c r="G108" s="427"/>
      <c r="H108" s="427"/>
      <c r="I108" s="427"/>
      <c r="J108" s="428"/>
      <c r="K108" s="30"/>
    </row>
    <row r="109" spans="2:11">
      <c r="B109" s="599" t="s">
        <v>226</v>
      </c>
      <c r="C109" s="600"/>
      <c r="D109" s="600"/>
      <c r="E109" s="600"/>
      <c r="F109" s="600"/>
      <c r="G109" s="600"/>
      <c r="H109" s="600" t="s">
        <v>110</v>
      </c>
      <c r="I109" s="600"/>
      <c r="J109" s="400"/>
      <c r="K109" s="30"/>
    </row>
    <row r="110" spans="2:11">
      <c r="B110" s="599" t="s">
        <v>227</v>
      </c>
      <c r="C110" s="600"/>
      <c r="D110" s="600"/>
      <c r="E110" s="600"/>
      <c r="F110" s="40" t="s">
        <v>228</v>
      </c>
      <c r="G110" s="40" t="s">
        <v>229</v>
      </c>
      <c r="H110" s="600"/>
      <c r="I110" s="600"/>
      <c r="J110" s="400"/>
      <c r="K110" s="30"/>
    </row>
    <row r="111" spans="2:11">
      <c r="B111" s="598" t="s">
        <v>230</v>
      </c>
      <c r="C111" s="558"/>
      <c r="D111" s="558"/>
      <c r="E111" s="558"/>
      <c r="F111" s="41">
        <f>G6+G7</f>
        <v>1</v>
      </c>
      <c r="G111" s="42">
        <f>+H107/F111</f>
        <v>2196.5744882843537</v>
      </c>
      <c r="H111" s="560">
        <f>+F111*G111</f>
        <v>2196.5744882843537</v>
      </c>
      <c r="I111" s="560"/>
      <c r="J111" s="400"/>
      <c r="K111" s="30"/>
    </row>
    <row r="112" spans="2:11">
      <c r="B112" s="599" t="s">
        <v>231</v>
      </c>
      <c r="C112" s="600"/>
      <c r="D112" s="600"/>
      <c r="E112" s="600"/>
      <c r="F112" s="600"/>
      <c r="G112" s="600"/>
      <c r="H112" s="601">
        <f>+H111</f>
        <v>2196.5744882843537</v>
      </c>
      <c r="I112" s="601"/>
      <c r="J112" s="400"/>
      <c r="K112" s="30"/>
    </row>
    <row r="113" spans="2:11" ht="15.75" thickBot="1">
      <c r="B113" s="602" t="s">
        <v>232</v>
      </c>
      <c r="C113" s="603"/>
      <c r="D113" s="603"/>
      <c r="E113" s="603"/>
      <c r="F113" s="603"/>
      <c r="G113" s="603"/>
      <c r="H113" s="604">
        <f>H112*12</f>
        <v>26358.893859412245</v>
      </c>
      <c r="I113" s="604"/>
      <c r="J113" s="43"/>
      <c r="K113" s="44"/>
    </row>
    <row r="114" spans="2:11"/>
    <row r="115" spans="2:11"/>
  </sheetData>
  <sheetProtection algorithmName="SHA-512" hashValue="/wftswoDpL5oJKFqBX4NLkvQ7NguEmpYT7Ply3YfUohbsZ7Z29aF+noDWGXqCLx0alw2/LZ4q4Xl7ycmcWoeYQ==" saltValue="Iyhf/MYIEfsPr13jR1wq8w==" spinCount="100000" sheet="1" objects="1" scenarios="1"/>
  <protectedRanges>
    <protectedRange algorithmName="SHA-512" hashValue="Ah6xLASO/UwiSJvpQJuoNoNIo1mfdhLxEsO3FpD0BDF8AlUm+3TEdBDSiVe9ZIm4T7QqVXzZRl2L3m3Xs8wbfg==" saltValue="scGGcdxRv9YW5mFCeF0+XQ==" spinCount="100000" sqref="J24:K27 C25:I27" name="Intervalo5"/>
    <protectedRange algorithmName="SHA-512" hashValue="NMSv0JJWtkb3QvUsVTHzvSvCQQ/aS8dA7efcphU3A/5W1u/s87dO0B+xDLtSDrlxSXVItHzqy9SDLy5wBJ5OZQ==" saltValue="e2BG1p15fg07qiDCv0z8Zw==" spinCount="100000" sqref="C20:G20" name="Intervalo3"/>
    <protectedRange algorithmName="SHA-512" hashValue="fmLXqBbTOiZlbMv236VyWP47+fJZucYZiquNlQj/N9ONKT3pQCF+jgvywPgD/omnWdo1eAN5z7DMqmGCJaXnOA==" saltValue="rdnOqJQ4K6z46z1YHk/e4w==" spinCount="100000" sqref="H6" name="Intervalo1"/>
    <protectedRange algorithmName="SHA-512" hashValue="k8qMKHorOWOiGUjEQzj/o9qZPhGX84Mwa9tVj7bwWNVcpBtdEVmkPVuzzY0Twt43/ftKl8YkRAAH2Fn4jsLTkg==" saltValue="GUP9L+gkZFeuCb0LAoRJMw==" spinCount="100000" sqref="N17:O20" name="Intervalo4_3"/>
    <protectedRange algorithmName="SHA-512" hashValue="WqOapSOrsN1ZIylEeDg8qsMj3/Ei4DSu+yanIGPrB9mdgPDIIehqzbgeAAg8EWvIcWBY5VOT/h31EIMHRZGAMQ==" saltValue="+ug9f8pTOmSSZ2JyYuT7TA==" spinCount="100000" sqref="G86" name="Intervalo8_2"/>
    <protectedRange algorithmName="SHA-512" hashValue="bhbqRQLX8rgbvsG2EOjXKaPiwCv1gO5p9m4DlSaHzQPzQSj2JHWn9xeN2TbHSmmCrAcvR7H4sNdY7ES+wuefyg==" saltValue="v3eAT0tAxQOj7pSMAM0DcA==" spinCount="100000" sqref="G84" name="Intervalo7_2"/>
    <protectedRange algorithmName="SHA-512" hashValue="11zYvWi56RXEYTNfWa/zGnrLHzo8OTizHyypLoXUHCi0Dps7F+nOmoEcVfjPlv4v70f3kAkEpFKUUAY2/f+67w==" saltValue="j7ywFm4wbW9tRqNX/QIEOA==" spinCount="100000" sqref="H32" name="Intervalo6_2"/>
  </protectedRanges>
  <mergeCells count="255">
    <mergeCell ref="B112:G112"/>
    <mergeCell ref="H112:I112"/>
    <mergeCell ref="B113:G113"/>
    <mergeCell ref="H113:I113"/>
    <mergeCell ref="H111:I111"/>
    <mergeCell ref="B105:G105"/>
    <mergeCell ref="H105:I105"/>
    <mergeCell ref="B107:G107"/>
    <mergeCell ref="B106:G106"/>
    <mergeCell ref="H106:I106"/>
    <mergeCell ref="H107:I107"/>
    <mergeCell ref="B108:J108"/>
    <mergeCell ref="B109:G109"/>
    <mergeCell ref="H109:I110"/>
    <mergeCell ref="B110:E110"/>
    <mergeCell ref="B111:E111"/>
    <mergeCell ref="B102:G102"/>
    <mergeCell ref="H102:I102"/>
    <mergeCell ref="B103:G103"/>
    <mergeCell ref="H103:I103"/>
    <mergeCell ref="B104:G104"/>
    <mergeCell ref="H104:I104"/>
    <mergeCell ref="B101:G101"/>
    <mergeCell ref="H101:I101"/>
    <mergeCell ref="B98:G98"/>
    <mergeCell ref="H98:I98"/>
    <mergeCell ref="B99:J100"/>
    <mergeCell ref="B90:D91"/>
    <mergeCell ref="E90:E91"/>
    <mergeCell ref="I90:I91"/>
    <mergeCell ref="F91:H91"/>
    <mergeCell ref="C92:F92"/>
    <mergeCell ref="C95:F95"/>
    <mergeCell ref="C97:F97"/>
    <mergeCell ref="F90:H90"/>
    <mergeCell ref="H95:I95"/>
    <mergeCell ref="C96:F96"/>
    <mergeCell ref="H96:I96"/>
    <mergeCell ref="H97:I97"/>
    <mergeCell ref="H92:I92"/>
    <mergeCell ref="H93:I93"/>
    <mergeCell ref="C94:F94"/>
    <mergeCell ref="H94:I94"/>
    <mergeCell ref="B89:H89"/>
    <mergeCell ref="B79:I79"/>
    <mergeCell ref="B80:I80"/>
    <mergeCell ref="C83:F83"/>
    <mergeCell ref="H83:I83"/>
    <mergeCell ref="B74:J74"/>
    <mergeCell ref="B77:I77"/>
    <mergeCell ref="B78:I78"/>
    <mergeCell ref="B73:G73"/>
    <mergeCell ref="H73:I73"/>
    <mergeCell ref="J73:K73"/>
    <mergeCell ref="B75:J75"/>
    <mergeCell ref="B76:K76"/>
    <mergeCell ref="B81:I81"/>
    <mergeCell ref="C84:F84"/>
    <mergeCell ref="H84:I84"/>
    <mergeCell ref="B85:F85"/>
    <mergeCell ref="G85:I85"/>
    <mergeCell ref="C86:F86"/>
    <mergeCell ref="H86:I86"/>
    <mergeCell ref="B87:F87"/>
    <mergeCell ref="G87:I87"/>
    <mergeCell ref="B88:I88"/>
    <mergeCell ref="C71:G71"/>
    <mergeCell ref="H71:I71"/>
    <mergeCell ref="J71:K71"/>
    <mergeCell ref="H72:I72"/>
    <mergeCell ref="J72:K72"/>
    <mergeCell ref="C69:G69"/>
    <mergeCell ref="H69:I69"/>
    <mergeCell ref="J69:K69"/>
    <mergeCell ref="C70:G70"/>
    <mergeCell ref="H70:I70"/>
    <mergeCell ref="J70:K70"/>
    <mergeCell ref="C72:G72"/>
    <mergeCell ref="C67:G67"/>
    <mergeCell ref="H67:I67"/>
    <mergeCell ref="J67:K67"/>
    <mergeCell ref="C68:G68"/>
    <mergeCell ref="H68:I68"/>
    <mergeCell ref="J68:K68"/>
    <mergeCell ref="H65:I65"/>
    <mergeCell ref="J65:K65"/>
    <mergeCell ref="H66:I66"/>
    <mergeCell ref="J66:K66"/>
    <mergeCell ref="C65:G65"/>
    <mergeCell ref="B66:G66"/>
    <mergeCell ref="H63:I63"/>
    <mergeCell ref="J63:K63"/>
    <mergeCell ref="H64:I64"/>
    <mergeCell ref="J64:K64"/>
    <mergeCell ref="C62:G62"/>
    <mergeCell ref="H62:I62"/>
    <mergeCell ref="J62:K62"/>
    <mergeCell ref="C63:G63"/>
    <mergeCell ref="B64:G64"/>
    <mergeCell ref="C60:G60"/>
    <mergeCell ref="H60:I60"/>
    <mergeCell ref="J60:K60"/>
    <mergeCell ref="C61:G61"/>
    <mergeCell ref="H61:I61"/>
    <mergeCell ref="J61:K61"/>
    <mergeCell ref="C58:G58"/>
    <mergeCell ref="H58:I58"/>
    <mergeCell ref="J58:K58"/>
    <mergeCell ref="C59:G59"/>
    <mergeCell ref="H59:I59"/>
    <mergeCell ref="J59:K59"/>
    <mergeCell ref="B56:G56"/>
    <mergeCell ref="H56:I56"/>
    <mergeCell ref="J56:K56"/>
    <mergeCell ref="B57:K57"/>
    <mergeCell ref="C51:G51"/>
    <mergeCell ref="H51:I51"/>
    <mergeCell ref="J51:K51"/>
    <mergeCell ref="C52:G52"/>
    <mergeCell ref="H52:I52"/>
    <mergeCell ref="J52:K52"/>
    <mergeCell ref="H55:I55"/>
    <mergeCell ref="J55:K55"/>
    <mergeCell ref="C53:G53"/>
    <mergeCell ref="H53:I53"/>
    <mergeCell ref="J53:K53"/>
    <mergeCell ref="C54:G54"/>
    <mergeCell ref="H54:I54"/>
    <mergeCell ref="J54:K54"/>
    <mergeCell ref="C55:G55"/>
    <mergeCell ref="C49:G49"/>
    <mergeCell ref="H49:I49"/>
    <mergeCell ref="J49:K49"/>
    <mergeCell ref="C50:G50"/>
    <mergeCell ref="H50:I50"/>
    <mergeCell ref="J50:K50"/>
    <mergeCell ref="H47:I47"/>
    <mergeCell ref="J47:K47"/>
    <mergeCell ref="H48:I48"/>
    <mergeCell ref="J48:K48"/>
    <mergeCell ref="C45:G45"/>
    <mergeCell ref="H45:I45"/>
    <mergeCell ref="J45:K45"/>
    <mergeCell ref="C46:G46"/>
    <mergeCell ref="H46:I46"/>
    <mergeCell ref="J46:K46"/>
    <mergeCell ref="C47:G47"/>
    <mergeCell ref="B48:G48"/>
    <mergeCell ref="H43:I43"/>
    <mergeCell ref="J43:K43"/>
    <mergeCell ref="H44:I44"/>
    <mergeCell ref="J44:K44"/>
    <mergeCell ref="C41:G41"/>
    <mergeCell ref="H41:I41"/>
    <mergeCell ref="J41:K41"/>
    <mergeCell ref="C42:G42"/>
    <mergeCell ref="H42:I42"/>
    <mergeCell ref="J42:K42"/>
    <mergeCell ref="C43:G43"/>
    <mergeCell ref="B44:G44"/>
    <mergeCell ref="H39:I39"/>
    <mergeCell ref="J39:K39"/>
    <mergeCell ref="H40:I40"/>
    <mergeCell ref="J40:K40"/>
    <mergeCell ref="C37:G37"/>
    <mergeCell ref="H37:I37"/>
    <mergeCell ref="J37:K37"/>
    <mergeCell ref="C38:G38"/>
    <mergeCell ref="H38:I38"/>
    <mergeCell ref="J38:K38"/>
    <mergeCell ref="C39:G39"/>
    <mergeCell ref="B40:G40"/>
    <mergeCell ref="C35:G35"/>
    <mergeCell ref="H35:I35"/>
    <mergeCell ref="J35:K35"/>
    <mergeCell ref="C36:G36"/>
    <mergeCell ref="H36:I36"/>
    <mergeCell ref="J36:K36"/>
    <mergeCell ref="C33:G33"/>
    <mergeCell ref="H33:I33"/>
    <mergeCell ref="J33:K33"/>
    <mergeCell ref="C34:G34"/>
    <mergeCell ref="H34:I34"/>
    <mergeCell ref="J34:K34"/>
    <mergeCell ref="C31:G31"/>
    <mergeCell ref="H31:I31"/>
    <mergeCell ref="J31:K31"/>
    <mergeCell ref="C32:G32"/>
    <mergeCell ref="H32:I32"/>
    <mergeCell ref="J32:K32"/>
    <mergeCell ref="C27:I27"/>
    <mergeCell ref="J27:K27"/>
    <mergeCell ref="B28:I28"/>
    <mergeCell ref="J28:K28"/>
    <mergeCell ref="B29:K29"/>
    <mergeCell ref="B30:J30"/>
    <mergeCell ref="C24:I24"/>
    <mergeCell ref="J24:K24"/>
    <mergeCell ref="C25:I25"/>
    <mergeCell ref="J25:K25"/>
    <mergeCell ref="C26:I26"/>
    <mergeCell ref="J26:K26"/>
    <mergeCell ref="B21:I21"/>
    <mergeCell ref="J21:K21"/>
    <mergeCell ref="B22:K22"/>
    <mergeCell ref="C23:I23"/>
    <mergeCell ref="J23:K23"/>
    <mergeCell ref="C19:F19"/>
    <mergeCell ref="H19:I19"/>
    <mergeCell ref="J19:K19"/>
    <mergeCell ref="C20:F20"/>
    <mergeCell ref="H20:I20"/>
    <mergeCell ref="H16:I16"/>
    <mergeCell ref="J16:K16"/>
    <mergeCell ref="C17:F17"/>
    <mergeCell ref="H17:I17"/>
    <mergeCell ref="J17:K17"/>
    <mergeCell ref="C18:F18"/>
    <mergeCell ref="H18:I18"/>
    <mergeCell ref="J18:K18"/>
    <mergeCell ref="M14:S14"/>
    <mergeCell ref="B15:K15"/>
    <mergeCell ref="M15:M16"/>
    <mergeCell ref="N15:N16"/>
    <mergeCell ref="O15:O16"/>
    <mergeCell ref="P15:P16"/>
    <mergeCell ref="Q15:Q16"/>
    <mergeCell ref="R15:R16"/>
    <mergeCell ref="S15:S16"/>
    <mergeCell ref="C16:F16"/>
    <mergeCell ref="B14:I14"/>
    <mergeCell ref="J14:K14"/>
    <mergeCell ref="C12:I12"/>
    <mergeCell ref="J12:K12"/>
    <mergeCell ref="C13:I13"/>
    <mergeCell ref="J13:K13"/>
    <mergeCell ref="B7:F7"/>
    <mergeCell ref="H7:I7"/>
    <mergeCell ref="J7:K7"/>
    <mergeCell ref="B8:I8"/>
    <mergeCell ref="J8:K8"/>
    <mergeCell ref="B9:I9"/>
    <mergeCell ref="J9:K9"/>
    <mergeCell ref="B2:I2"/>
    <mergeCell ref="J2:K5"/>
    <mergeCell ref="B5:F5"/>
    <mergeCell ref="H5:I5"/>
    <mergeCell ref="B6:F6"/>
    <mergeCell ref="H6:I6"/>
    <mergeCell ref="J6:K6"/>
    <mergeCell ref="B10:K10"/>
    <mergeCell ref="B11:K11"/>
    <mergeCell ref="B3:G3"/>
    <mergeCell ref="H3:I3"/>
    <mergeCell ref="B4:I4"/>
  </mergeCells>
  <dataValidations disablePrompts="1" count="1">
    <dataValidation type="list" allowBlank="1" showInputMessage="1" showErrorMessage="1" sqref="H3:I3">
      <formula1>$V$35:$V$37</formula1>
    </dataValidation>
  </dataValidations>
  <pageMargins left="0.25" right="0.25"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V115"/>
  <sheetViews>
    <sheetView topLeftCell="A89" zoomScaleNormal="100" workbookViewId="0">
      <selection activeCell="G92" sqref="G92"/>
    </sheetView>
  </sheetViews>
  <sheetFormatPr defaultColWidth="0" defaultRowHeight="15" zeroHeight="1"/>
  <cols>
    <col min="1" max="1" width="4" style="9" customWidth="1"/>
    <col min="2" max="5" width="9.140625" style="9" customWidth="1"/>
    <col min="6" max="6" width="19.28515625" style="9" customWidth="1"/>
    <col min="7" max="7" width="15.7109375" style="9" bestFit="1" customWidth="1"/>
    <col min="8" max="8" width="9.140625" style="9" customWidth="1"/>
    <col min="9" max="9" width="22" style="9" customWidth="1"/>
    <col min="10" max="10" width="20.28515625" style="9" customWidth="1"/>
    <col min="11" max="11" width="0.140625" style="9" customWidth="1"/>
    <col min="12" max="12" width="10.5703125" style="9" bestFit="1" customWidth="1"/>
    <col min="13" max="13" width="21" style="9" customWidth="1"/>
    <col min="14" max="14" width="12.28515625" style="9" customWidth="1"/>
    <col min="15" max="15" width="13" style="9" bestFit="1" customWidth="1"/>
    <col min="16" max="16" width="10.5703125" style="9" bestFit="1" customWidth="1"/>
    <col min="17" max="17" width="10.140625" style="9" bestFit="1" customWidth="1"/>
    <col min="18" max="18" width="9.42578125" style="9" bestFit="1" customWidth="1"/>
    <col min="19" max="19" width="12.42578125" style="9" bestFit="1" customWidth="1"/>
    <col min="20" max="21" width="0" style="9" hidden="1" customWidth="1"/>
    <col min="22" max="16384" width="9.140625" style="9" hidden="1"/>
  </cols>
  <sheetData>
    <row r="1" spans="2:19" ht="15.75" thickBot="1"/>
    <row r="2" spans="2:19">
      <c r="B2" s="417" t="s">
        <v>414</v>
      </c>
      <c r="C2" s="418"/>
      <c r="D2" s="418"/>
      <c r="E2" s="418"/>
      <c r="F2" s="418"/>
      <c r="G2" s="418"/>
      <c r="H2" s="418"/>
      <c r="I2" s="419"/>
      <c r="J2" s="420" t="s">
        <v>110</v>
      </c>
      <c r="K2" s="421"/>
      <c r="M2" s="10" t="s">
        <v>111</v>
      </c>
    </row>
    <row r="3" spans="2:19">
      <c r="B3" s="467" t="s">
        <v>571</v>
      </c>
      <c r="C3" s="468"/>
      <c r="D3" s="468"/>
      <c r="E3" s="468"/>
      <c r="F3" s="468"/>
      <c r="G3" s="468"/>
      <c r="H3" s="702" t="s">
        <v>570</v>
      </c>
      <c r="I3" s="703"/>
      <c r="J3" s="422"/>
      <c r="K3" s="423"/>
      <c r="M3" s="10"/>
    </row>
    <row r="4" spans="2:19" ht="29.25" customHeight="1">
      <c r="B4" s="471" t="s">
        <v>572</v>
      </c>
      <c r="C4" s="472"/>
      <c r="D4" s="472"/>
      <c r="E4" s="472"/>
      <c r="F4" s="472"/>
      <c r="G4" s="472"/>
      <c r="H4" s="472"/>
      <c r="I4" s="473"/>
      <c r="J4" s="422"/>
      <c r="K4" s="423"/>
      <c r="M4" s="10"/>
    </row>
    <row r="5" spans="2:19">
      <c r="B5" s="426" t="s">
        <v>112</v>
      </c>
      <c r="C5" s="427"/>
      <c r="D5" s="427"/>
      <c r="E5" s="427"/>
      <c r="F5" s="428"/>
      <c r="G5" s="11" t="s">
        <v>113</v>
      </c>
      <c r="H5" s="429" t="s">
        <v>114</v>
      </c>
      <c r="I5" s="430"/>
      <c r="J5" s="424"/>
      <c r="K5" s="425"/>
      <c r="M5" s="9" t="s">
        <v>115</v>
      </c>
    </row>
    <row r="6" spans="2:19">
      <c r="B6" s="619" t="s">
        <v>233</v>
      </c>
      <c r="C6" s="620"/>
      <c r="D6" s="620"/>
      <c r="E6" s="620"/>
      <c r="F6" s="621"/>
      <c r="G6" s="12">
        <v>1</v>
      </c>
      <c r="H6" s="434">
        <v>975.92</v>
      </c>
      <c r="I6" s="622"/>
      <c r="J6" s="436">
        <f>G6*H6</f>
        <v>975.92</v>
      </c>
      <c r="K6" s="437"/>
    </row>
    <row r="7" spans="2:19">
      <c r="B7" s="457"/>
      <c r="C7" s="427"/>
      <c r="D7" s="427"/>
      <c r="E7" s="427"/>
      <c r="F7" s="428"/>
      <c r="G7" s="13"/>
      <c r="H7" s="455"/>
      <c r="I7" s="458"/>
      <c r="J7" s="436">
        <f t="shared" ref="J7" si="0">G7*H7</f>
        <v>0</v>
      </c>
      <c r="K7" s="437"/>
    </row>
    <row r="8" spans="2:19">
      <c r="B8" s="459" t="s">
        <v>116</v>
      </c>
      <c r="C8" s="460"/>
      <c r="D8" s="460"/>
      <c r="E8" s="460"/>
      <c r="F8" s="460"/>
      <c r="G8" s="460"/>
      <c r="H8" s="460"/>
      <c r="I8" s="461"/>
      <c r="J8" s="462">
        <f>SUM(J6:J7)</f>
        <v>975.92</v>
      </c>
      <c r="K8" s="463"/>
    </row>
    <row r="9" spans="2:19">
      <c r="B9" s="464" t="s">
        <v>117</v>
      </c>
      <c r="C9" s="646"/>
      <c r="D9" s="646"/>
      <c r="E9" s="646"/>
      <c r="F9" s="646"/>
      <c r="G9" s="646"/>
      <c r="H9" s="646"/>
      <c r="I9" s="647"/>
      <c r="J9" s="644">
        <f>J8*12</f>
        <v>11711.039999999999</v>
      </c>
      <c r="K9" s="645"/>
    </row>
    <row r="10" spans="2:19">
      <c r="B10" s="623" t="s">
        <v>118</v>
      </c>
      <c r="C10" s="624"/>
      <c r="D10" s="624"/>
      <c r="E10" s="624"/>
      <c r="F10" s="624"/>
      <c r="G10" s="624"/>
      <c r="H10" s="624"/>
      <c r="I10" s="624"/>
      <c r="J10" s="624"/>
      <c r="K10" s="625"/>
    </row>
    <row r="11" spans="2:19" ht="30" customHeight="1">
      <c r="B11" s="446" t="s">
        <v>119</v>
      </c>
      <c r="C11" s="447"/>
      <c r="D11" s="447"/>
      <c r="E11" s="447"/>
      <c r="F11" s="447"/>
      <c r="G11" s="447"/>
      <c r="H11" s="447"/>
      <c r="I11" s="447"/>
      <c r="J11" s="447"/>
      <c r="K11" s="448"/>
      <c r="M11" s="14"/>
    </row>
    <row r="12" spans="2:19">
      <c r="B12" s="15" t="s">
        <v>120</v>
      </c>
      <c r="C12" s="449" t="s">
        <v>121</v>
      </c>
      <c r="D12" s="427"/>
      <c r="E12" s="427"/>
      <c r="F12" s="427"/>
      <c r="G12" s="427"/>
      <c r="H12" s="427"/>
      <c r="I12" s="428"/>
      <c r="J12" s="450" t="s">
        <v>122</v>
      </c>
      <c r="K12" s="451"/>
    </row>
    <row r="13" spans="2:19">
      <c r="B13" s="16" t="s">
        <v>123</v>
      </c>
      <c r="C13" s="452" t="s">
        <v>124</v>
      </c>
      <c r="D13" s="453"/>
      <c r="E13" s="453"/>
      <c r="F13" s="453"/>
      <c r="G13" s="453"/>
      <c r="H13" s="453"/>
      <c r="I13" s="454"/>
      <c r="J13" s="455">
        <f>J8</f>
        <v>975.92</v>
      </c>
      <c r="K13" s="456"/>
    </row>
    <row r="14" spans="2:19">
      <c r="B14" s="626" t="s">
        <v>126</v>
      </c>
      <c r="C14" s="627"/>
      <c r="D14" s="627"/>
      <c r="E14" s="627"/>
      <c r="F14" s="627"/>
      <c r="G14" s="627"/>
      <c r="H14" s="627"/>
      <c r="I14" s="628"/>
      <c r="J14" s="629">
        <f>SUM(J13:K13)</f>
        <v>975.92</v>
      </c>
      <c r="K14" s="630"/>
      <c r="M14" s="470" t="s">
        <v>127</v>
      </c>
      <c r="N14" s="470"/>
      <c r="O14" s="470"/>
      <c r="P14" s="470"/>
      <c r="Q14" s="470"/>
      <c r="R14" s="470"/>
      <c r="S14" s="470"/>
    </row>
    <row r="15" spans="2:19" ht="39.75" customHeight="1">
      <c r="B15" s="446" t="s">
        <v>128</v>
      </c>
      <c r="C15" s="447"/>
      <c r="D15" s="447"/>
      <c r="E15" s="447"/>
      <c r="F15" s="447"/>
      <c r="G15" s="447"/>
      <c r="H15" s="447"/>
      <c r="I15" s="447"/>
      <c r="J15" s="447"/>
      <c r="K15" s="448"/>
      <c r="M15" s="469" t="s">
        <v>552</v>
      </c>
      <c r="N15" s="469" t="s">
        <v>129</v>
      </c>
      <c r="O15" s="469" t="s">
        <v>122</v>
      </c>
      <c r="P15" s="469" t="s">
        <v>130</v>
      </c>
      <c r="Q15" s="474" t="s">
        <v>131</v>
      </c>
      <c r="R15" s="469" t="s">
        <v>132</v>
      </c>
      <c r="S15" s="474" t="s">
        <v>133</v>
      </c>
    </row>
    <row r="16" spans="2:19">
      <c r="B16" s="15" t="s">
        <v>134</v>
      </c>
      <c r="C16" s="449" t="s">
        <v>135</v>
      </c>
      <c r="D16" s="427"/>
      <c r="E16" s="427"/>
      <c r="F16" s="428"/>
      <c r="G16" s="17" t="s">
        <v>113</v>
      </c>
      <c r="H16" s="449" t="s">
        <v>136</v>
      </c>
      <c r="I16" s="428"/>
      <c r="J16" s="449" t="s">
        <v>131</v>
      </c>
      <c r="K16" s="480"/>
      <c r="M16" s="469"/>
      <c r="N16" s="469"/>
      <c r="O16" s="469"/>
      <c r="P16" s="469"/>
      <c r="Q16" s="474"/>
      <c r="R16" s="474"/>
      <c r="S16" s="474"/>
    </row>
    <row r="17" spans="2:19" ht="52.5" customHeight="1">
      <c r="B17" s="16" t="s">
        <v>123</v>
      </c>
      <c r="C17" s="481" t="s">
        <v>137</v>
      </c>
      <c r="D17" s="482"/>
      <c r="E17" s="482"/>
      <c r="F17" s="483"/>
      <c r="G17" s="302">
        <f>+G6</f>
        <v>1</v>
      </c>
      <c r="H17" s="484">
        <f>+S17</f>
        <v>95.044800000000038</v>
      </c>
      <c r="I17" s="485"/>
      <c r="J17" s="484">
        <f t="shared" ref="J17:J20" si="1">H17*G17</f>
        <v>95.044800000000038</v>
      </c>
      <c r="K17" s="486"/>
      <c r="M17" s="317" t="s">
        <v>553</v>
      </c>
      <c r="N17" s="318">
        <v>24</v>
      </c>
      <c r="O17" s="319">
        <v>3.2</v>
      </c>
      <c r="P17" s="18">
        <f>+O17*2</f>
        <v>6.4</v>
      </c>
      <c r="Q17" s="19">
        <f>(N17*P17)</f>
        <v>153.60000000000002</v>
      </c>
      <c r="R17" s="20">
        <f>IF(N17&gt;0,(-H6*0.06),0)</f>
        <v>-58.555199999999992</v>
      </c>
      <c r="S17" s="21">
        <f>SUM(Q17:R17)</f>
        <v>95.044800000000038</v>
      </c>
    </row>
    <row r="18" spans="2:19" ht="15" customHeight="1">
      <c r="B18" s="16" t="s">
        <v>11</v>
      </c>
      <c r="C18" s="481" t="s">
        <v>138</v>
      </c>
      <c r="D18" s="653"/>
      <c r="E18" s="653"/>
      <c r="F18" s="654"/>
      <c r="G18" s="302">
        <f>G17</f>
        <v>1</v>
      </c>
      <c r="H18" s="478">
        <f>+Q18</f>
        <v>169.92000000000002</v>
      </c>
      <c r="I18" s="479"/>
      <c r="J18" s="436">
        <f t="shared" si="1"/>
        <v>169.92000000000002</v>
      </c>
      <c r="K18" s="437"/>
      <c r="M18" s="318" t="s">
        <v>554</v>
      </c>
      <c r="N18" s="318">
        <v>24</v>
      </c>
      <c r="O18" s="319">
        <v>7.08</v>
      </c>
      <c r="P18" s="300"/>
      <c r="Q18" s="22">
        <f>+N18*O18</f>
        <v>169.92000000000002</v>
      </c>
    </row>
    <row r="19" spans="2:19" ht="15" customHeight="1">
      <c r="B19" s="23" t="s">
        <v>125</v>
      </c>
      <c r="C19" s="648" t="s">
        <v>556</v>
      </c>
      <c r="D19" s="649"/>
      <c r="E19" s="649"/>
      <c r="F19" s="650"/>
      <c r="G19" s="302">
        <f t="shared" ref="G19:G20" si="2">G18</f>
        <v>1</v>
      </c>
      <c r="H19" s="478">
        <f>+Q19</f>
        <v>40.200000000000003</v>
      </c>
      <c r="I19" s="479"/>
      <c r="J19" s="436">
        <f>G19*H19</f>
        <v>40.200000000000003</v>
      </c>
      <c r="K19" s="437"/>
      <c r="M19" s="318" t="s">
        <v>556</v>
      </c>
      <c r="N19" s="318">
        <v>1</v>
      </c>
      <c r="O19" s="319">
        <v>40.200000000000003</v>
      </c>
      <c r="P19" s="300"/>
      <c r="Q19" s="22">
        <f>+N19*O19</f>
        <v>40.200000000000003</v>
      </c>
    </row>
    <row r="20" spans="2:19">
      <c r="B20" s="23" t="s">
        <v>139</v>
      </c>
      <c r="C20" s="637" t="s">
        <v>555</v>
      </c>
      <c r="D20" s="651"/>
      <c r="E20" s="651"/>
      <c r="F20" s="652"/>
      <c r="G20" s="302">
        <f t="shared" si="2"/>
        <v>1</v>
      </c>
      <c r="H20" s="478">
        <f>+Q20</f>
        <v>100</v>
      </c>
      <c r="I20" s="479"/>
      <c r="J20" s="303">
        <f t="shared" si="1"/>
        <v>100</v>
      </c>
      <c r="K20" s="304"/>
      <c r="M20" s="318" t="s">
        <v>555</v>
      </c>
      <c r="N20" s="318">
        <v>1</v>
      </c>
      <c r="O20" s="319">
        <v>100</v>
      </c>
      <c r="P20" s="300"/>
      <c r="Q20" s="22">
        <f>+N20*O20</f>
        <v>100</v>
      </c>
    </row>
    <row r="21" spans="2:19">
      <c r="B21" s="626" t="s">
        <v>142</v>
      </c>
      <c r="C21" s="631"/>
      <c r="D21" s="631"/>
      <c r="E21" s="631"/>
      <c r="F21" s="631"/>
      <c r="G21" s="631"/>
      <c r="H21" s="631"/>
      <c r="I21" s="632"/>
      <c r="J21" s="629">
        <f>SUM(J17:J20)</f>
        <v>405.16480000000007</v>
      </c>
      <c r="K21" s="633"/>
    </row>
    <row r="22" spans="2:19" ht="30" customHeight="1">
      <c r="B22" s="446" t="s">
        <v>143</v>
      </c>
      <c r="C22" s="499"/>
      <c r="D22" s="499"/>
      <c r="E22" s="499"/>
      <c r="F22" s="499"/>
      <c r="G22" s="499"/>
      <c r="H22" s="499"/>
      <c r="I22" s="499"/>
      <c r="J22" s="499"/>
      <c r="K22" s="500"/>
    </row>
    <row r="23" spans="2:19">
      <c r="B23" s="16" t="s">
        <v>144</v>
      </c>
      <c r="C23" s="501" t="s">
        <v>145</v>
      </c>
      <c r="D23" s="489"/>
      <c r="E23" s="489"/>
      <c r="F23" s="489"/>
      <c r="G23" s="489"/>
      <c r="H23" s="489"/>
      <c r="I23" s="490"/>
      <c r="J23" s="449" t="s">
        <v>131</v>
      </c>
      <c r="K23" s="480"/>
    </row>
    <row r="24" spans="2:19">
      <c r="B24" s="16" t="s">
        <v>123</v>
      </c>
      <c r="C24" s="488" t="s">
        <v>146</v>
      </c>
      <c r="D24" s="489"/>
      <c r="E24" s="489"/>
      <c r="F24" s="489"/>
      <c r="G24" s="489"/>
      <c r="H24" s="489"/>
      <c r="I24" s="490"/>
      <c r="J24" s="491">
        <v>0</v>
      </c>
      <c r="K24" s="492"/>
    </row>
    <row r="25" spans="2:19">
      <c r="B25" s="16" t="s">
        <v>11</v>
      </c>
      <c r="C25" s="488" t="s">
        <v>574</v>
      </c>
      <c r="D25" s="489"/>
      <c r="E25" s="489"/>
      <c r="F25" s="489"/>
      <c r="G25" s="489"/>
      <c r="H25" s="489"/>
      <c r="I25" s="490"/>
      <c r="J25" s="478">
        <v>10</v>
      </c>
      <c r="K25" s="643"/>
    </row>
    <row r="26" spans="2:19">
      <c r="B26" s="305" t="s">
        <v>125</v>
      </c>
      <c r="C26" s="493" t="s">
        <v>147</v>
      </c>
      <c r="D26" s="494"/>
      <c r="E26" s="494"/>
      <c r="F26" s="494"/>
      <c r="G26" s="494"/>
      <c r="H26" s="494"/>
      <c r="I26" s="495"/>
      <c r="J26" s="491">
        <v>0</v>
      </c>
      <c r="K26" s="492"/>
    </row>
    <row r="27" spans="2:19">
      <c r="B27" s="305" t="s">
        <v>139</v>
      </c>
      <c r="C27" s="493" t="s">
        <v>147</v>
      </c>
      <c r="D27" s="494"/>
      <c r="E27" s="494"/>
      <c r="F27" s="494"/>
      <c r="G27" s="494"/>
      <c r="H27" s="494"/>
      <c r="I27" s="495"/>
      <c r="J27" s="491">
        <v>0</v>
      </c>
      <c r="K27" s="492"/>
    </row>
    <row r="28" spans="2:19">
      <c r="B28" s="626" t="s">
        <v>148</v>
      </c>
      <c r="C28" s="631"/>
      <c r="D28" s="631"/>
      <c r="E28" s="631"/>
      <c r="F28" s="631"/>
      <c r="G28" s="631"/>
      <c r="H28" s="631"/>
      <c r="I28" s="632"/>
      <c r="J28" s="629">
        <f>SUM(J24:K27)</f>
        <v>10</v>
      </c>
      <c r="K28" s="633"/>
    </row>
    <row r="29" spans="2:19" ht="51" customHeight="1">
      <c r="B29" s="446" t="s">
        <v>149</v>
      </c>
      <c r="C29" s="447"/>
      <c r="D29" s="447"/>
      <c r="E29" s="447"/>
      <c r="F29" s="447"/>
      <c r="G29" s="447"/>
      <c r="H29" s="447"/>
      <c r="I29" s="447"/>
      <c r="J29" s="447"/>
      <c r="K29" s="448"/>
    </row>
    <row r="30" spans="2:19">
      <c r="B30" s="505" t="s">
        <v>573</v>
      </c>
      <c r="C30" s="506"/>
      <c r="D30" s="506"/>
      <c r="E30" s="506"/>
      <c r="F30" s="506"/>
      <c r="G30" s="506"/>
      <c r="H30" s="506"/>
      <c r="I30" s="506"/>
      <c r="J30" s="506"/>
      <c r="K30" s="403"/>
    </row>
    <row r="31" spans="2:19">
      <c r="B31" s="24" t="s">
        <v>150</v>
      </c>
      <c r="C31" s="449" t="s">
        <v>151</v>
      </c>
      <c r="D31" s="427"/>
      <c r="E31" s="427"/>
      <c r="F31" s="427"/>
      <c r="G31" s="428"/>
      <c r="H31" s="504">
        <f>H40</f>
        <v>0.3680000000000001</v>
      </c>
      <c r="I31" s="428"/>
      <c r="J31" s="449" t="s">
        <v>122</v>
      </c>
      <c r="K31" s="480"/>
    </row>
    <row r="32" spans="2:19">
      <c r="B32" s="25" t="s">
        <v>123</v>
      </c>
      <c r="C32" s="488" t="s">
        <v>152</v>
      </c>
      <c r="D32" s="489"/>
      <c r="E32" s="489"/>
      <c r="F32" s="489"/>
      <c r="G32" s="490"/>
      <c r="H32" s="707">
        <v>0.2</v>
      </c>
      <c r="I32" s="708"/>
      <c r="J32" s="436">
        <f>H32*J13</f>
        <v>195.184</v>
      </c>
      <c r="K32" s="437"/>
    </row>
    <row r="33" spans="2:22">
      <c r="B33" s="407" t="s">
        <v>11</v>
      </c>
      <c r="C33" s="488" t="s">
        <v>153</v>
      </c>
      <c r="D33" s="489"/>
      <c r="E33" s="489"/>
      <c r="F33" s="489"/>
      <c r="G33" s="490"/>
      <c r="H33" s="707">
        <v>1.4999999999999999E-2</v>
      </c>
      <c r="I33" s="708"/>
      <c r="J33" s="436">
        <f>H33*J13</f>
        <v>14.638799999999998</v>
      </c>
      <c r="K33" s="437"/>
    </row>
    <row r="34" spans="2:22">
      <c r="B34" s="407" t="s">
        <v>125</v>
      </c>
      <c r="C34" s="488" t="s">
        <v>154</v>
      </c>
      <c r="D34" s="489"/>
      <c r="E34" s="489"/>
      <c r="F34" s="489"/>
      <c r="G34" s="490"/>
      <c r="H34" s="707">
        <v>0.01</v>
      </c>
      <c r="I34" s="708"/>
      <c r="J34" s="436">
        <f>H34*J13</f>
        <v>9.7591999999999999</v>
      </c>
      <c r="K34" s="437"/>
    </row>
    <row r="35" spans="2:22">
      <c r="B35" s="407" t="s">
        <v>139</v>
      </c>
      <c r="C35" s="488" t="s">
        <v>155</v>
      </c>
      <c r="D35" s="489"/>
      <c r="E35" s="489"/>
      <c r="F35" s="489"/>
      <c r="G35" s="490"/>
      <c r="H35" s="707">
        <v>2E-3</v>
      </c>
      <c r="I35" s="708"/>
      <c r="J35" s="436">
        <f>H35*J13</f>
        <v>1.95184</v>
      </c>
      <c r="K35" s="437"/>
      <c r="V35" s="9" t="s">
        <v>568</v>
      </c>
    </row>
    <row r="36" spans="2:22">
      <c r="B36" s="407" t="s">
        <v>140</v>
      </c>
      <c r="C36" s="488" t="s">
        <v>156</v>
      </c>
      <c r="D36" s="489"/>
      <c r="E36" s="489"/>
      <c r="F36" s="489"/>
      <c r="G36" s="490"/>
      <c r="H36" s="707">
        <v>2.5000000000000001E-2</v>
      </c>
      <c r="I36" s="708"/>
      <c r="J36" s="436">
        <f>H36*J13</f>
        <v>24.398</v>
      </c>
      <c r="K36" s="437"/>
      <c r="V36" s="9" t="s">
        <v>569</v>
      </c>
    </row>
    <row r="37" spans="2:22">
      <c r="B37" s="407" t="s">
        <v>141</v>
      </c>
      <c r="C37" s="488" t="s">
        <v>157</v>
      </c>
      <c r="D37" s="489"/>
      <c r="E37" s="489"/>
      <c r="F37" s="489"/>
      <c r="G37" s="490"/>
      <c r="H37" s="707">
        <v>0.08</v>
      </c>
      <c r="I37" s="708"/>
      <c r="J37" s="436">
        <f>H37*J13</f>
        <v>78.073599999999999</v>
      </c>
      <c r="K37" s="437"/>
      <c r="V37" s="9" t="s">
        <v>570</v>
      </c>
    </row>
    <row r="38" spans="2:22">
      <c r="B38" s="407" t="s">
        <v>158</v>
      </c>
      <c r="C38" s="488" t="s">
        <v>159</v>
      </c>
      <c r="D38" s="489"/>
      <c r="E38" s="489"/>
      <c r="F38" s="489"/>
      <c r="G38" s="490"/>
      <c r="H38" s="502">
        <v>0.03</v>
      </c>
      <c r="I38" s="503"/>
      <c r="J38" s="436">
        <f>H38*J13</f>
        <v>29.277599999999996</v>
      </c>
      <c r="K38" s="437"/>
    </row>
    <row r="39" spans="2:22">
      <c r="B39" s="407" t="s">
        <v>160</v>
      </c>
      <c r="C39" s="488" t="s">
        <v>161</v>
      </c>
      <c r="D39" s="489"/>
      <c r="E39" s="489"/>
      <c r="F39" s="489"/>
      <c r="G39" s="490"/>
      <c r="H39" s="707">
        <v>6.0000000000000001E-3</v>
      </c>
      <c r="I39" s="708"/>
      <c r="J39" s="436">
        <f>H39*J13</f>
        <v>5.8555200000000003</v>
      </c>
      <c r="K39" s="437"/>
    </row>
    <row r="40" spans="2:22">
      <c r="B40" s="507" t="s">
        <v>162</v>
      </c>
      <c r="C40" s="465"/>
      <c r="D40" s="465"/>
      <c r="E40" s="465"/>
      <c r="F40" s="465"/>
      <c r="G40" s="466"/>
      <c r="H40" s="508">
        <f>SUM(H32:H39)</f>
        <v>0.3680000000000001</v>
      </c>
      <c r="I40" s="509"/>
      <c r="J40" s="462">
        <f>SUM(J32:J39)</f>
        <v>359.13856000000004</v>
      </c>
      <c r="K40" s="510"/>
    </row>
    <row r="41" spans="2:22">
      <c r="B41" s="24" t="s">
        <v>163</v>
      </c>
      <c r="C41" s="449" t="s">
        <v>164</v>
      </c>
      <c r="D41" s="427"/>
      <c r="E41" s="427"/>
      <c r="F41" s="427"/>
      <c r="G41" s="428"/>
      <c r="H41" s="449" t="s">
        <v>165</v>
      </c>
      <c r="I41" s="428"/>
      <c r="J41" s="449" t="s">
        <v>122</v>
      </c>
      <c r="K41" s="480"/>
    </row>
    <row r="42" spans="2:22">
      <c r="B42" s="25" t="s">
        <v>123</v>
      </c>
      <c r="C42" s="488" t="s">
        <v>166</v>
      </c>
      <c r="D42" s="489"/>
      <c r="E42" s="489"/>
      <c r="F42" s="489"/>
      <c r="G42" s="490"/>
      <c r="H42" s="709">
        <v>8.3299999999999999E-2</v>
      </c>
      <c r="I42" s="710"/>
      <c r="J42" s="436">
        <f>H42*J13</f>
        <v>81.294135999999995</v>
      </c>
      <c r="K42" s="437"/>
    </row>
    <row r="43" spans="2:22">
      <c r="B43" s="16" t="s">
        <v>123</v>
      </c>
      <c r="C43" s="515" t="s">
        <v>167</v>
      </c>
      <c r="D43" s="516"/>
      <c r="E43" s="516"/>
      <c r="F43" s="516"/>
      <c r="G43" s="517"/>
      <c r="H43" s="711">
        <v>1.4E-2</v>
      </c>
      <c r="I43" s="712"/>
      <c r="J43" s="518">
        <f>H43*J14</f>
        <v>13.662879999999999</v>
      </c>
      <c r="K43" s="519"/>
    </row>
    <row r="44" spans="2:22">
      <c r="B44" s="507" t="s">
        <v>168</v>
      </c>
      <c r="C44" s="465"/>
      <c r="D44" s="465"/>
      <c r="E44" s="465"/>
      <c r="F44" s="465"/>
      <c r="G44" s="466"/>
      <c r="H44" s="511">
        <f>H42+H43</f>
        <v>9.7299999999999998E-2</v>
      </c>
      <c r="I44" s="512"/>
      <c r="J44" s="513">
        <f>J42+J43</f>
        <v>94.957015999999996</v>
      </c>
      <c r="K44" s="514"/>
    </row>
    <row r="45" spans="2:22">
      <c r="B45" s="24" t="s">
        <v>169</v>
      </c>
      <c r="C45" s="449" t="s">
        <v>164</v>
      </c>
      <c r="D45" s="427"/>
      <c r="E45" s="427"/>
      <c r="F45" s="427"/>
      <c r="G45" s="428"/>
      <c r="H45" s="449" t="s">
        <v>165</v>
      </c>
      <c r="I45" s="428"/>
      <c r="J45" s="449" t="s">
        <v>122</v>
      </c>
      <c r="K45" s="480"/>
    </row>
    <row r="46" spans="2:22">
      <c r="B46" s="25" t="s">
        <v>123</v>
      </c>
      <c r="C46" s="488" t="s">
        <v>170</v>
      </c>
      <c r="D46" s="489"/>
      <c r="E46" s="489"/>
      <c r="F46" s="489"/>
      <c r="G46" s="490"/>
      <c r="H46" s="707">
        <v>6.4999999999999997E-3</v>
      </c>
      <c r="I46" s="708"/>
      <c r="J46" s="436">
        <f>H46*J14</f>
        <v>6.3434799999999996</v>
      </c>
      <c r="K46" s="437"/>
    </row>
    <row r="47" spans="2:22">
      <c r="B47" s="407" t="s">
        <v>11</v>
      </c>
      <c r="C47" s="481" t="s">
        <v>171</v>
      </c>
      <c r="D47" s="447"/>
      <c r="E47" s="447"/>
      <c r="F47" s="447"/>
      <c r="G47" s="487"/>
      <c r="H47" s="709">
        <v>1.1000000000000001E-3</v>
      </c>
      <c r="I47" s="710"/>
      <c r="J47" s="436">
        <f>J14*H47</f>
        <v>1.073512</v>
      </c>
      <c r="K47" s="437"/>
    </row>
    <row r="48" spans="2:22">
      <c r="B48" s="507" t="s">
        <v>172</v>
      </c>
      <c r="C48" s="465"/>
      <c r="D48" s="465"/>
      <c r="E48" s="465"/>
      <c r="F48" s="465"/>
      <c r="G48" s="466"/>
      <c r="H48" s="511">
        <f>H46+H47</f>
        <v>7.6E-3</v>
      </c>
      <c r="I48" s="512"/>
      <c r="J48" s="462">
        <f>SUM(J46:J47)</f>
        <v>7.4169919999999996</v>
      </c>
      <c r="K48" s="510"/>
    </row>
    <row r="49" spans="2:17">
      <c r="B49" s="24" t="s">
        <v>173</v>
      </c>
      <c r="C49" s="449" t="s">
        <v>174</v>
      </c>
      <c r="D49" s="427"/>
      <c r="E49" s="427"/>
      <c r="F49" s="427"/>
      <c r="G49" s="428"/>
      <c r="H49" s="449" t="s">
        <v>165</v>
      </c>
      <c r="I49" s="428"/>
      <c r="J49" s="449" t="s">
        <v>122</v>
      </c>
      <c r="K49" s="480"/>
    </row>
    <row r="50" spans="2:17">
      <c r="B50" s="25" t="s">
        <v>123</v>
      </c>
      <c r="C50" s="488" t="s">
        <v>175</v>
      </c>
      <c r="D50" s="489"/>
      <c r="E50" s="489"/>
      <c r="F50" s="489"/>
      <c r="G50" s="490"/>
      <c r="H50" s="707">
        <v>4.1999999999999997E-3</v>
      </c>
      <c r="I50" s="708"/>
      <c r="J50" s="436">
        <f>H50*J14</f>
        <v>4.0988639999999998</v>
      </c>
      <c r="K50" s="437"/>
    </row>
    <row r="51" spans="2:17">
      <c r="B51" s="407" t="s">
        <v>11</v>
      </c>
      <c r="C51" s="488" t="s">
        <v>176</v>
      </c>
      <c r="D51" s="489"/>
      <c r="E51" s="489"/>
      <c r="F51" s="489"/>
      <c r="G51" s="490"/>
      <c r="H51" s="713">
        <v>3.5999999999999997E-2</v>
      </c>
      <c r="I51" s="710"/>
      <c r="J51" s="436">
        <f>H50*J50</f>
        <v>1.7215228799999999E-2</v>
      </c>
      <c r="K51" s="437"/>
    </row>
    <row r="52" spans="2:17">
      <c r="B52" s="407" t="s">
        <v>125</v>
      </c>
      <c r="C52" s="488" t="s">
        <v>177</v>
      </c>
      <c r="D52" s="489"/>
      <c r="E52" s="489"/>
      <c r="F52" s="489"/>
      <c r="G52" s="490"/>
      <c r="H52" s="709">
        <v>2E-3</v>
      </c>
      <c r="I52" s="710"/>
      <c r="J52" s="436">
        <f>H52*J53</f>
        <v>3.7943769599999996E-2</v>
      </c>
      <c r="K52" s="437"/>
    </row>
    <row r="53" spans="2:17">
      <c r="B53" s="407" t="s">
        <v>139</v>
      </c>
      <c r="C53" s="488" t="s">
        <v>178</v>
      </c>
      <c r="D53" s="489"/>
      <c r="E53" s="489"/>
      <c r="F53" s="489"/>
      <c r="G53" s="490"/>
      <c r="H53" s="707">
        <v>1.9439999999999999E-2</v>
      </c>
      <c r="I53" s="708"/>
      <c r="J53" s="436">
        <f>H53*J14</f>
        <v>18.971884799999998</v>
      </c>
      <c r="K53" s="437"/>
    </row>
    <row r="54" spans="2:17">
      <c r="B54" s="407" t="s">
        <v>140</v>
      </c>
      <c r="C54" s="520" t="s">
        <v>179</v>
      </c>
      <c r="D54" s="521"/>
      <c r="E54" s="521"/>
      <c r="F54" s="521"/>
      <c r="G54" s="522"/>
      <c r="H54" s="709">
        <v>3.2659999999999998E-3</v>
      </c>
      <c r="I54" s="710"/>
      <c r="J54" s="436">
        <f>H54*J53</f>
        <v>6.1962175756799992E-2</v>
      </c>
      <c r="K54" s="437"/>
    </row>
    <row r="55" spans="2:17">
      <c r="B55" s="407" t="s">
        <v>141</v>
      </c>
      <c r="C55" s="488" t="s">
        <v>180</v>
      </c>
      <c r="D55" s="489"/>
      <c r="E55" s="489"/>
      <c r="F55" s="489"/>
      <c r="G55" s="490"/>
      <c r="H55" s="707">
        <v>2E-3</v>
      </c>
      <c r="I55" s="708"/>
      <c r="J55" s="436">
        <f>H55*J53</f>
        <v>3.7943769599999996E-2</v>
      </c>
      <c r="K55" s="437"/>
    </row>
    <row r="56" spans="2:17">
      <c r="B56" s="507" t="s">
        <v>181</v>
      </c>
      <c r="C56" s="465"/>
      <c r="D56" s="465"/>
      <c r="E56" s="465"/>
      <c r="F56" s="465"/>
      <c r="G56" s="466"/>
      <c r="H56" s="511">
        <f>SUM(H50:H55)</f>
        <v>6.6906000000000007E-2</v>
      </c>
      <c r="I56" s="512"/>
      <c r="J56" s="462">
        <f>SUM(J50:K55)</f>
        <v>23.225813743756795</v>
      </c>
      <c r="K56" s="510"/>
    </row>
    <row r="57" spans="2:17" ht="51.75" customHeight="1">
      <c r="B57" s="446" t="s">
        <v>182</v>
      </c>
      <c r="C57" s="447"/>
      <c r="D57" s="447"/>
      <c r="E57" s="447"/>
      <c r="F57" s="447"/>
      <c r="G57" s="447"/>
      <c r="H57" s="447"/>
      <c r="I57" s="447"/>
      <c r="J57" s="447"/>
      <c r="K57" s="448"/>
    </row>
    <row r="58" spans="2:17">
      <c r="B58" s="24" t="s">
        <v>183</v>
      </c>
      <c r="C58" s="449" t="s">
        <v>164</v>
      </c>
      <c r="D58" s="427"/>
      <c r="E58" s="427"/>
      <c r="F58" s="427"/>
      <c r="G58" s="428"/>
      <c r="H58" s="449" t="s">
        <v>165</v>
      </c>
      <c r="I58" s="428"/>
      <c r="J58" s="449" t="s">
        <v>122</v>
      </c>
      <c r="K58" s="480"/>
    </row>
    <row r="59" spans="2:17">
      <c r="B59" s="25" t="s">
        <v>123</v>
      </c>
      <c r="C59" s="488" t="s">
        <v>184</v>
      </c>
      <c r="D59" s="489"/>
      <c r="E59" s="489"/>
      <c r="F59" s="489"/>
      <c r="G59" s="490"/>
      <c r="H59" s="707">
        <v>0.1111</v>
      </c>
      <c r="I59" s="708"/>
      <c r="J59" s="436">
        <f>H59*J13</f>
        <v>108.424712</v>
      </c>
      <c r="K59" s="437"/>
      <c r="P59" s="26"/>
    </row>
    <row r="60" spans="2:17">
      <c r="B60" s="408" t="s">
        <v>11</v>
      </c>
      <c r="C60" s="488" t="s">
        <v>185</v>
      </c>
      <c r="D60" s="489"/>
      <c r="E60" s="489"/>
      <c r="F60" s="489"/>
      <c r="G60" s="490"/>
      <c r="H60" s="707">
        <v>1.66E-2</v>
      </c>
      <c r="I60" s="708"/>
      <c r="J60" s="436">
        <f>H60*J13</f>
        <v>16.200271999999998</v>
      </c>
      <c r="K60" s="437"/>
      <c r="M60" s="27"/>
      <c r="P60" s="26"/>
    </row>
    <row r="61" spans="2:17">
      <c r="B61" s="408" t="s">
        <v>125</v>
      </c>
      <c r="C61" s="488" t="s">
        <v>186</v>
      </c>
      <c r="D61" s="489"/>
      <c r="E61" s="489"/>
      <c r="F61" s="489"/>
      <c r="G61" s="490"/>
      <c r="H61" s="707">
        <v>2.0000000000000001E-4</v>
      </c>
      <c r="I61" s="708"/>
      <c r="J61" s="436">
        <f>H61*J13</f>
        <v>0.195184</v>
      </c>
      <c r="K61" s="437"/>
      <c r="P61" s="26"/>
    </row>
    <row r="62" spans="2:17">
      <c r="B62" s="408" t="s">
        <v>139</v>
      </c>
      <c r="C62" s="488" t="s">
        <v>187</v>
      </c>
      <c r="D62" s="489"/>
      <c r="E62" s="489"/>
      <c r="F62" s="489"/>
      <c r="G62" s="490"/>
      <c r="H62" s="707">
        <v>2.8E-3</v>
      </c>
      <c r="I62" s="708"/>
      <c r="J62" s="436">
        <f>H62*J13</f>
        <v>2.7325759999999999</v>
      </c>
      <c r="K62" s="437"/>
      <c r="N62" s="28"/>
      <c r="P62" s="26"/>
      <c r="Q62" s="28"/>
    </row>
    <row r="63" spans="2:17">
      <c r="B63" s="408" t="s">
        <v>140</v>
      </c>
      <c r="C63" s="488" t="s">
        <v>188</v>
      </c>
      <c r="D63" s="489"/>
      <c r="E63" s="489"/>
      <c r="F63" s="489"/>
      <c r="G63" s="490"/>
      <c r="H63" s="707">
        <v>2.9999999999999997E-4</v>
      </c>
      <c r="I63" s="708"/>
      <c r="J63" s="436">
        <f>H63*J13</f>
        <v>0.29277599999999998</v>
      </c>
      <c r="K63" s="437"/>
    </row>
    <row r="64" spans="2:17">
      <c r="B64" s="523" t="s">
        <v>190</v>
      </c>
      <c r="C64" s="524"/>
      <c r="D64" s="524"/>
      <c r="E64" s="524"/>
      <c r="F64" s="524"/>
      <c r="G64" s="525"/>
      <c r="H64" s="526">
        <f>H63+H62+H61+H60+H59</f>
        <v>0.13100000000000001</v>
      </c>
      <c r="I64" s="527"/>
      <c r="J64" s="528">
        <f>SUM(J59:J63)</f>
        <v>127.84551999999999</v>
      </c>
      <c r="K64" s="529"/>
    </row>
    <row r="65" spans="2:11">
      <c r="B65" s="29" t="s">
        <v>158</v>
      </c>
      <c r="C65" s="530" t="s">
        <v>191</v>
      </c>
      <c r="D65" s="531"/>
      <c r="E65" s="531"/>
      <c r="F65" s="531"/>
      <c r="G65" s="532"/>
      <c r="H65" s="526">
        <v>2.2700000000000001E-2</v>
      </c>
      <c r="I65" s="527"/>
      <c r="J65" s="484">
        <f>H65*J64</f>
        <v>2.9020933040000001</v>
      </c>
      <c r="K65" s="486"/>
    </row>
    <row r="66" spans="2:11">
      <c r="B66" s="523" t="s">
        <v>192</v>
      </c>
      <c r="C66" s="524"/>
      <c r="D66" s="524"/>
      <c r="E66" s="524"/>
      <c r="F66" s="524"/>
      <c r="G66" s="525"/>
      <c r="H66" s="535">
        <f>H64+H65</f>
        <v>0.1537</v>
      </c>
      <c r="I66" s="536"/>
      <c r="J66" s="513">
        <f>SUM(J64:J65)</f>
        <v>130.747613304</v>
      </c>
      <c r="K66" s="514"/>
    </row>
    <row r="67" spans="2:11">
      <c r="B67" s="24" t="s">
        <v>99</v>
      </c>
      <c r="C67" s="449" t="s">
        <v>193</v>
      </c>
      <c r="D67" s="537"/>
      <c r="E67" s="537"/>
      <c r="F67" s="537"/>
      <c r="G67" s="538"/>
      <c r="H67" s="449" t="s">
        <v>165</v>
      </c>
      <c r="I67" s="428"/>
      <c r="J67" s="449" t="s">
        <v>122</v>
      </c>
      <c r="K67" s="480"/>
    </row>
    <row r="68" spans="2:11">
      <c r="B68" s="15" t="s">
        <v>150</v>
      </c>
      <c r="C68" s="488" t="s">
        <v>194</v>
      </c>
      <c r="D68" s="489"/>
      <c r="E68" s="489"/>
      <c r="F68" s="489"/>
      <c r="G68" s="490"/>
      <c r="H68" s="533">
        <f>+H40</f>
        <v>0.3680000000000001</v>
      </c>
      <c r="I68" s="534"/>
      <c r="J68" s="436">
        <f>H68*J14</f>
        <v>359.1385600000001</v>
      </c>
      <c r="K68" s="437"/>
    </row>
    <row r="69" spans="2:11">
      <c r="B69" s="409" t="s">
        <v>163</v>
      </c>
      <c r="C69" s="488" t="s">
        <v>195</v>
      </c>
      <c r="D69" s="489"/>
      <c r="E69" s="489"/>
      <c r="F69" s="489"/>
      <c r="G69" s="490"/>
      <c r="H69" s="533">
        <f>H44</f>
        <v>9.7299999999999998E-2</v>
      </c>
      <c r="I69" s="534"/>
      <c r="J69" s="436">
        <f>H69*J14</f>
        <v>94.957015999999996</v>
      </c>
      <c r="K69" s="437"/>
    </row>
    <row r="70" spans="2:11">
      <c r="B70" s="409" t="s">
        <v>169</v>
      </c>
      <c r="C70" s="488" t="s">
        <v>170</v>
      </c>
      <c r="D70" s="489"/>
      <c r="E70" s="489"/>
      <c r="F70" s="489"/>
      <c r="G70" s="490"/>
      <c r="H70" s="533">
        <f>H48</f>
        <v>7.6E-3</v>
      </c>
      <c r="I70" s="534"/>
      <c r="J70" s="436">
        <f>H70*J14</f>
        <v>7.4169919999999996</v>
      </c>
      <c r="K70" s="437"/>
    </row>
    <row r="71" spans="2:11">
      <c r="B71" s="409" t="s">
        <v>173</v>
      </c>
      <c r="C71" s="488" t="s">
        <v>196</v>
      </c>
      <c r="D71" s="489"/>
      <c r="E71" s="489"/>
      <c r="F71" s="489"/>
      <c r="G71" s="490"/>
      <c r="H71" s="539">
        <f>H56</f>
        <v>6.6906000000000007E-2</v>
      </c>
      <c r="I71" s="540"/>
      <c r="J71" s="541">
        <f>J56</f>
        <v>23.225813743756795</v>
      </c>
      <c r="K71" s="542"/>
    </row>
    <row r="72" spans="2:11">
      <c r="B72" s="409" t="s">
        <v>183</v>
      </c>
      <c r="C72" s="488" t="s">
        <v>197</v>
      </c>
      <c r="D72" s="489"/>
      <c r="E72" s="489"/>
      <c r="F72" s="489"/>
      <c r="G72" s="490"/>
      <c r="H72" s="539">
        <f>H66</f>
        <v>0.1537</v>
      </c>
      <c r="I72" s="540"/>
      <c r="J72" s="541">
        <f>J66</f>
        <v>130.747613304</v>
      </c>
      <c r="K72" s="542"/>
    </row>
    <row r="73" spans="2:11">
      <c r="B73" s="543" t="s">
        <v>198</v>
      </c>
      <c r="C73" s="544"/>
      <c r="D73" s="544"/>
      <c r="E73" s="544"/>
      <c r="F73" s="544"/>
      <c r="G73" s="545"/>
      <c r="H73" s="546">
        <f>SUM(H68:H72)</f>
        <v>0.69350600000000018</v>
      </c>
      <c r="I73" s="547"/>
      <c r="J73" s="548">
        <f>SUM(J68:J72)</f>
        <v>615.48599504775689</v>
      </c>
      <c r="K73" s="549"/>
    </row>
    <row r="74" spans="2:11">
      <c r="B74" s="562" t="s">
        <v>199</v>
      </c>
      <c r="C74" s="563"/>
      <c r="D74" s="563"/>
      <c r="E74" s="563"/>
      <c r="F74" s="563"/>
      <c r="G74" s="563"/>
      <c r="H74" s="563"/>
      <c r="I74" s="563"/>
      <c r="J74" s="563"/>
      <c r="K74" s="30"/>
    </row>
    <row r="75" spans="2:11">
      <c r="B75" s="564" t="s">
        <v>200</v>
      </c>
      <c r="C75" s="565"/>
      <c r="D75" s="565"/>
      <c r="E75" s="565"/>
      <c r="F75" s="565"/>
      <c r="G75" s="565"/>
      <c r="H75" s="565"/>
      <c r="I75" s="565"/>
      <c r="J75" s="565"/>
      <c r="K75" s="30"/>
    </row>
    <row r="76" spans="2:11">
      <c r="B76" s="551" t="s">
        <v>201</v>
      </c>
      <c r="C76" s="552"/>
      <c r="D76" s="552"/>
      <c r="E76" s="552"/>
      <c r="F76" s="552"/>
      <c r="G76" s="552"/>
      <c r="H76" s="552"/>
      <c r="I76" s="552"/>
      <c r="J76" s="552"/>
      <c r="K76" s="566"/>
    </row>
    <row r="77" spans="2:11">
      <c r="B77" s="550" t="s">
        <v>126</v>
      </c>
      <c r="C77" s="537"/>
      <c r="D77" s="537"/>
      <c r="E77" s="537"/>
      <c r="F77" s="537"/>
      <c r="G77" s="537"/>
      <c r="H77" s="537"/>
      <c r="I77" s="538"/>
      <c r="J77" s="31">
        <f>J14</f>
        <v>975.92</v>
      </c>
      <c r="K77" s="30"/>
    </row>
    <row r="78" spans="2:11">
      <c r="B78" s="550" t="s">
        <v>142</v>
      </c>
      <c r="C78" s="537"/>
      <c r="D78" s="537"/>
      <c r="E78" s="537"/>
      <c r="F78" s="537"/>
      <c r="G78" s="537"/>
      <c r="H78" s="537"/>
      <c r="I78" s="538"/>
      <c r="J78" s="31">
        <f>J21</f>
        <v>405.16480000000007</v>
      </c>
      <c r="K78" s="30"/>
    </row>
    <row r="79" spans="2:11">
      <c r="B79" s="550" t="s">
        <v>148</v>
      </c>
      <c r="C79" s="537"/>
      <c r="D79" s="537"/>
      <c r="E79" s="537"/>
      <c r="F79" s="537"/>
      <c r="G79" s="537"/>
      <c r="H79" s="537"/>
      <c r="I79" s="538"/>
      <c r="J79" s="31">
        <f>J28</f>
        <v>10</v>
      </c>
      <c r="K79" s="30"/>
    </row>
    <row r="80" spans="2:11">
      <c r="B80" s="550" t="s">
        <v>198</v>
      </c>
      <c r="C80" s="537"/>
      <c r="D80" s="537"/>
      <c r="E80" s="537"/>
      <c r="F80" s="537"/>
      <c r="G80" s="537"/>
      <c r="H80" s="537"/>
      <c r="I80" s="538"/>
      <c r="J80" s="32">
        <f>J73</f>
        <v>615.48599504775689</v>
      </c>
      <c r="K80" s="30"/>
    </row>
    <row r="81" spans="2:13">
      <c r="B81" s="551" t="s">
        <v>202</v>
      </c>
      <c r="C81" s="552"/>
      <c r="D81" s="552"/>
      <c r="E81" s="552"/>
      <c r="F81" s="552"/>
      <c r="G81" s="552"/>
      <c r="H81" s="552"/>
      <c r="I81" s="553"/>
      <c r="J81" s="33">
        <f>SUM(J77:J80)</f>
        <v>2006.570795047757</v>
      </c>
      <c r="K81" s="30"/>
      <c r="L81" s="34"/>
    </row>
    <row r="82" spans="2:13">
      <c r="B82" s="221" t="s">
        <v>203</v>
      </c>
      <c r="C82" s="412"/>
      <c r="D82" s="412"/>
      <c r="E82" s="412"/>
      <c r="F82" s="412"/>
      <c r="G82" s="412"/>
      <c r="H82" s="412"/>
      <c r="I82" s="412"/>
      <c r="J82" s="413"/>
      <c r="K82" s="30"/>
    </row>
    <row r="83" spans="2:13">
      <c r="B83" s="15" t="s">
        <v>204</v>
      </c>
      <c r="C83" s="554" t="s">
        <v>205</v>
      </c>
      <c r="D83" s="555"/>
      <c r="E83" s="555"/>
      <c r="F83" s="555"/>
      <c r="G83" s="35" t="s">
        <v>165</v>
      </c>
      <c r="H83" s="556" t="s">
        <v>122</v>
      </c>
      <c r="I83" s="557"/>
      <c r="J83" s="413"/>
      <c r="K83" s="30"/>
    </row>
    <row r="84" spans="2:13">
      <c r="B84" s="15" t="s">
        <v>123</v>
      </c>
      <c r="C84" s="558" t="s">
        <v>206</v>
      </c>
      <c r="D84" s="559"/>
      <c r="E84" s="559"/>
      <c r="F84" s="559"/>
      <c r="G84" s="405">
        <v>0</v>
      </c>
      <c r="H84" s="560">
        <f>J81*G84</f>
        <v>0</v>
      </c>
      <c r="I84" s="561"/>
      <c r="J84" s="413"/>
      <c r="K84" s="30"/>
    </row>
    <row r="85" spans="2:13" ht="28.5" customHeight="1">
      <c r="B85" s="578" t="s">
        <v>207</v>
      </c>
      <c r="C85" s="579"/>
      <c r="D85" s="579"/>
      <c r="E85" s="579"/>
      <c r="F85" s="579"/>
      <c r="G85" s="580"/>
      <c r="H85" s="580"/>
      <c r="I85" s="580"/>
      <c r="J85" s="413"/>
      <c r="K85" s="30"/>
    </row>
    <row r="86" spans="2:13">
      <c r="B86" s="36" t="s">
        <v>11</v>
      </c>
      <c r="C86" s="581" t="s">
        <v>208</v>
      </c>
      <c r="D86" s="582"/>
      <c r="E86" s="582"/>
      <c r="F86" s="583"/>
      <c r="G86" s="406">
        <v>0</v>
      </c>
      <c r="H86" s="528">
        <f>G86*(H84+J81)</f>
        <v>0</v>
      </c>
      <c r="I86" s="584"/>
      <c r="J86" s="413"/>
      <c r="K86" s="30"/>
    </row>
    <row r="87" spans="2:13" ht="30" customHeight="1">
      <c r="B87" s="578" t="s">
        <v>209</v>
      </c>
      <c r="C87" s="579"/>
      <c r="D87" s="579"/>
      <c r="E87" s="579"/>
      <c r="F87" s="579"/>
      <c r="G87" s="580"/>
      <c r="H87" s="580"/>
      <c r="I87" s="580"/>
      <c r="J87" s="31"/>
      <c r="K87" s="30"/>
    </row>
    <row r="88" spans="2:13">
      <c r="B88" s="567" t="s">
        <v>210</v>
      </c>
      <c r="C88" s="568"/>
      <c r="D88" s="568"/>
      <c r="E88" s="568"/>
      <c r="F88" s="568"/>
      <c r="G88" s="568"/>
      <c r="H88" s="568"/>
      <c r="I88" s="568"/>
      <c r="J88" s="31">
        <f>J81+H84+H86</f>
        <v>2006.570795047757</v>
      </c>
      <c r="K88" s="37"/>
    </row>
    <row r="89" spans="2:13">
      <c r="B89" s="569" t="s">
        <v>211</v>
      </c>
      <c r="C89" s="570"/>
      <c r="D89" s="570"/>
      <c r="E89" s="570"/>
      <c r="F89" s="570"/>
      <c r="G89" s="570"/>
      <c r="H89" s="571"/>
      <c r="I89" s="38">
        <f>1-G92</f>
        <v>0.91349999999999998</v>
      </c>
      <c r="J89" s="31"/>
      <c r="K89" s="37"/>
    </row>
    <row r="90" spans="2:13">
      <c r="B90" s="572" t="s">
        <v>212</v>
      </c>
      <c r="C90" s="573"/>
      <c r="D90" s="573"/>
      <c r="E90" s="575" t="s">
        <v>213</v>
      </c>
      <c r="F90" s="576" t="s">
        <v>214</v>
      </c>
      <c r="G90" s="576"/>
      <c r="H90" s="576"/>
      <c r="I90" s="575" t="s">
        <v>215</v>
      </c>
      <c r="J90" s="31"/>
      <c r="K90" s="37"/>
    </row>
    <row r="91" spans="2:13">
      <c r="B91" s="574"/>
      <c r="C91" s="573"/>
      <c r="D91" s="573"/>
      <c r="E91" s="573"/>
      <c r="F91" s="577" t="s">
        <v>216</v>
      </c>
      <c r="G91" s="577"/>
      <c r="H91" s="577"/>
      <c r="I91" s="573"/>
      <c r="J91" s="31">
        <f>J88/I89</f>
        <v>2196.5744882843537</v>
      </c>
      <c r="K91" s="37"/>
      <c r="L91" s="39"/>
    </row>
    <row r="92" spans="2:13">
      <c r="B92" s="15" t="s">
        <v>125</v>
      </c>
      <c r="C92" s="588" t="s">
        <v>217</v>
      </c>
      <c r="D92" s="589"/>
      <c r="E92" s="589"/>
      <c r="F92" s="590"/>
      <c r="G92" s="715">
        <f>G94+G95+G97</f>
        <v>8.6499999999999994E-2</v>
      </c>
      <c r="H92" s="560">
        <f>+J91*G92</f>
        <v>190.00369323659658</v>
      </c>
      <c r="I92" s="560"/>
      <c r="J92" s="31"/>
      <c r="K92" s="37"/>
    </row>
    <row r="93" spans="2:13">
      <c r="B93" s="15">
        <v>1</v>
      </c>
      <c r="C93" s="411" t="s">
        <v>218</v>
      </c>
      <c r="D93" s="410"/>
      <c r="E93" s="410"/>
      <c r="F93" s="410"/>
      <c r="G93" s="404"/>
      <c r="H93" s="580"/>
      <c r="I93" s="580"/>
      <c r="J93" s="31"/>
      <c r="K93" s="37"/>
      <c r="M93" s="39"/>
    </row>
    <row r="94" spans="2:13">
      <c r="B94" s="16" t="s">
        <v>219</v>
      </c>
      <c r="C94" s="520" t="s">
        <v>252</v>
      </c>
      <c r="D94" s="592"/>
      <c r="E94" s="592"/>
      <c r="F94" s="593"/>
      <c r="G94" s="405">
        <v>0.03</v>
      </c>
      <c r="H94" s="580">
        <f>G94*J$91</f>
        <v>65.897234648530613</v>
      </c>
      <c r="I94" s="580"/>
      <c r="J94" s="31"/>
      <c r="K94" s="37"/>
    </row>
    <row r="95" spans="2:13">
      <c r="B95" s="16" t="s">
        <v>220</v>
      </c>
      <c r="C95" s="591" t="s">
        <v>251</v>
      </c>
      <c r="D95" s="591"/>
      <c r="E95" s="591"/>
      <c r="F95" s="591"/>
      <c r="G95" s="405">
        <v>6.4999999999999997E-3</v>
      </c>
      <c r="H95" s="580">
        <f>G95*J$91</f>
        <v>14.277734173848298</v>
      </c>
      <c r="I95" s="580"/>
      <c r="J95" s="31"/>
      <c r="K95" s="37"/>
    </row>
    <row r="96" spans="2:13">
      <c r="B96" s="15">
        <v>2</v>
      </c>
      <c r="C96" s="501" t="s">
        <v>221</v>
      </c>
      <c r="D96" s="594"/>
      <c r="E96" s="594"/>
      <c r="F96" s="595"/>
      <c r="G96" s="404"/>
      <c r="H96" s="580"/>
      <c r="I96" s="580"/>
      <c r="J96" s="31"/>
      <c r="K96" s="37"/>
    </row>
    <row r="97" spans="2:11">
      <c r="B97" s="16" t="s">
        <v>219</v>
      </c>
      <c r="C97" s="488" t="s">
        <v>222</v>
      </c>
      <c r="D97" s="596"/>
      <c r="E97" s="596"/>
      <c r="F97" s="597"/>
      <c r="G97" s="716">
        <v>0.05</v>
      </c>
      <c r="H97" s="580">
        <f>G97*J$91</f>
        <v>109.82872441421769</v>
      </c>
      <c r="I97" s="580"/>
      <c r="J97" s="31"/>
      <c r="K97" s="37"/>
    </row>
    <row r="98" spans="2:11">
      <c r="B98" s="585" t="s">
        <v>223</v>
      </c>
      <c r="C98" s="586"/>
      <c r="D98" s="586"/>
      <c r="E98" s="586"/>
      <c r="F98" s="586"/>
      <c r="G98" s="586"/>
      <c r="H98" s="587">
        <f>H94+H95+H97+H84+H86</f>
        <v>190.0036932365966</v>
      </c>
      <c r="I98" s="587"/>
      <c r="J98" s="31"/>
      <c r="K98" s="37"/>
    </row>
    <row r="99" spans="2:11">
      <c r="B99" s="609"/>
      <c r="C99" s="610"/>
      <c r="D99" s="610"/>
      <c r="E99" s="610"/>
      <c r="F99" s="610"/>
      <c r="G99" s="610"/>
      <c r="H99" s="610"/>
      <c r="I99" s="610"/>
      <c r="J99" s="611"/>
      <c r="K99" s="30"/>
    </row>
    <row r="100" spans="2:11">
      <c r="B100" s="612"/>
      <c r="C100" s="613"/>
      <c r="D100" s="613"/>
      <c r="E100" s="613"/>
      <c r="F100" s="613"/>
      <c r="G100" s="613"/>
      <c r="H100" s="613"/>
      <c r="I100" s="613"/>
      <c r="J100" s="614"/>
      <c r="K100" s="30"/>
    </row>
    <row r="101" spans="2:11">
      <c r="B101" s="615" t="s">
        <v>224</v>
      </c>
      <c r="C101" s="616"/>
      <c r="D101" s="616"/>
      <c r="E101" s="616"/>
      <c r="F101" s="616"/>
      <c r="G101" s="616"/>
      <c r="H101" s="617" t="s">
        <v>122</v>
      </c>
      <c r="I101" s="618"/>
      <c r="J101" s="31"/>
      <c r="K101" s="30"/>
    </row>
    <row r="102" spans="2:11">
      <c r="B102" s="598" t="s">
        <v>557</v>
      </c>
      <c r="C102" s="559"/>
      <c r="D102" s="559"/>
      <c r="E102" s="559"/>
      <c r="F102" s="559"/>
      <c r="G102" s="559"/>
      <c r="H102" s="580">
        <f>J77</f>
        <v>975.92</v>
      </c>
      <c r="I102" s="580"/>
      <c r="J102" s="413"/>
      <c r="K102" s="30"/>
    </row>
    <row r="103" spans="2:11">
      <c r="B103" s="598" t="s">
        <v>558</v>
      </c>
      <c r="C103" s="559"/>
      <c r="D103" s="559"/>
      <c r="E103" s="559"/>
      <c r="F103" s="559"/>
      <c r="G103" s="559"/>
      <c r="H103" s="580">
        <f>J78</f>
        <v>405.16480000000007</v>
      </c>
      <c r="I103" s="580"/>
      <c r="J103" s="413"/>
      <c r="K103" s="30"/>
    </row>
    <row r="104" spans="2:11">
      <c r="B104" s="598" t="s">
        <v>559</v>
      </c>
      <c r="C104" s="559"/>
      <c r="D104" s="559"/>
      <c r="E104" s="559"/>
      <c r="F104" s="559"/>
      <c r="G104" s="559"/>
      <c r="H104" s="580">
        <f>J79</f>
        <v>10</v>
      </c>
      <c r="I104" s="580"/>
      <c r="J104" s="413"/>
      <c r="K104" s="30"/>
    </row>
    <row r="105" spans="2:11">
      <c r="B105" s="598" t="s">
        <v>560</v>
      </c>
      <c r="C105" s="559"/>
      <c r="D105" s="559"/>
      <c r="E105" s="559"/>
      <c r="F105" s="559"/>
      <c r="G105" s="559"/>
      <c r="H105" s="580">
        <f>J80</f>
        <v>615.48599504775689</v>
      </c>
      <c r="I105" s="580"/>
      <c r="J105" s="413"/>
      <c r="K105" s="30"/>
    </row>
    <row r="106" spans="2:11">
      <c r="B106" s="598" t="s">
        <v>561</v>
      </c>
      <c r="C106" s="559"/>
      <c r="D106" s="559"/>
      <c r="E106" s="559"/>
      <c r="F106" s="559"/>
      <c r="G106" s="559"/>
      <c r="H106" s="580">
        <f>H98</f>
        <v>190.0036932365966</v>
      </c>
      <c r="I106" s="580"/>
      <c r="J106" s="413"/>
      <c r="K106" s="30"/>
    </row>
    <row r="107" spans="2:11">
      <c r="B107" s="605" t="s">
        <v>225</v>
      </c>
      <c r="C107" s="606"/>
      <c r="D107" s="606"/>
      <c r="E107" s="606"/>
      <c r="F107" s="606"/>
      <c r="G107" s="606"/>
      <c r="H107" s="607">
        <f>SUM(H102:H106)</f>
        <v>2196.5744882843537</v>
      </c>
      <c r="I107" s="607"/>
      <c r="J107" s="413"/>
      <c r="K107" s="30"/>
    </row>
    <row r="108" spans="2:11">
      <c r="B108" s="608"/>
      <c r="C108" s="427"/>
      <c r="D108" s="427"/>
      <c r="E108" s="427"/>
      <c r="F108" s="427"/>
      <c r="G108" s="427"/>
      <c r="H108" s="427"/>
      <c r="I108" s="427"/>
      <c r="J108" s="428"/>
      <c r="K108" s="30"/>
    </row>
    <row r="109" spans="2:11">
      <c r="B109" s="599" t="s">
        <v>226</v>
      </c>
      <c r="C109" s="600"/>
      <c r="D109" s="600"/>
      <c r="E109" s="600"/>
      <c r="F109" s="600"/>
      <c r="G109" s="600"/>
      <c r="H109" s="600" t="s">
        <v>110</v>
      </c>
      <c r="I109" s="600"/>
      <c r="J109" s="413"/>
      <c r="K109" s="30"/>
    </row>
    <row r="110" spans="2:11">
      <c r="B110" s="599" t="s">
        <v>227</v>
      </c>
      <c r="C110" s="600"/>
      <c r="D110" s="600"/>
      <c r="E110" s="600"/>
      <c r="F110" s="40" t="s">
        <v>228</v>
      </c>
      <c r="G110" s="40" t="s">
        <v>229</v>
      </c>
      <c r="H110" s="600"/>
      <c r="I110" s="600"/>
      <c r="J110" s="413"/>
      <c r="K110" s="30"/>
    </row>
    <row r="111" spans="2:11">
      <c r="B111" s="598" t="s">
        <v>230</v>
      </c>
      <c r="C111" s="558"/>
      <c r="D111" s="558"/>
      <c r="E111" s="558"/>
      <c r="F111" s="41">
        <f>G6+G7</f>
        <v>1</v>
      </c>
      <c r="G111" s="42">
        <f>+H107/F111</f>
        <v>2196.5744882843537</v>
      </c>
      <c r="H111" s="560">
        <f>+F111*G111</f>
        <v>2196.5744882843537</v>
      </c>
      <c r="I111" s="560"/>
      <c r="J111" s="413"/>
      <c r="K111" s="30"/>
    </row>
    <row r="112" spans="2:11">
      <c r="B112" s="599" t="s">
        <v>231</v>
      </c>
      <c r="C112" s="600"/>
      <c r="D112" s="600"/>
      <c r="E112" s="600"/>
      <c r="F112" s="600"/>
      <c r="G112" s="600"/>
      <c r="H112" s="601">
        <f>+H111</f>
        <v>2196.5744882843537</v>
      </c>
      <c r="I112" s="601"/>
      <c r="J112" s="413"/>
      <c r="K112" s="30"/>
    </row>
    <row r="113" spans="2:11" ht="15.75" thickBot="1">
      <c r="B113" s="602" t="s">
        <v>232</v>
      </c>
      <c r="C113" s="603"/>
      <c r="D113" s="603"/>
      <c r="E113" s="603"/>
      <c r="F113" s="603"/>
      <c r="G113" s="603"/>
      <c r="H113" s="604">
        <f>H112*12</f>
        <v>26358.893859412245</v>
      </c>
      <c r="I113" s="604"/>
      <c r="J113" s="43"/>
      <c r="K113" s="44"/>
    </row>
    <row r="114" spans="2:11"/>
    <row r="115" spans="2:11"/>
  </sheetData>
  <sheetProtection algorithmName="SHA-512" hashValue="YfKgkoqE7KBSZMOgO8By2V1OhJJ6n3U3lIgeWEw0Dhmm/BwtjtbEG4VyVvxYjjV3ymPlPYdwGLPBdV6uF/sxFA==" saltValue="wZzTG5r1tyDnstZF81iLMQ==" spinCount="100000" sheet="1" objects="1" scenarios="1"/>
  <protectedRanges>
    <protectedRange algorithmName="SHA-512" hashValue="Ah6xLASO/UwiSJvpQJuoNoNIo1mfdhLxEsO3FpD0BDF8AlUm+3TEdBDSiVe9ZIm4T7QqVXzZRl2L3m3Xs8wbfg==" saltValue="scGGcdxRv9YW5mFCeF0+XQ==" spinCount="100000" sqref="J24:K24 J26:K27" name="Intervalo5"/>
    <protectedRange algorithmName="SHA-512" hashValue="NMSv0JJWtkb3QvUsVTHzvSvCQQ/aS8dA7efcphU3A/5W1u/s87dO0B+xDLtSDrlxSXVItHzqy9SDLy5wBJ5OZQ==" saltValue="e2BG1p15fg07qiDCv0z8Zw==" spinCount="100000" sqref="C20:F20" name="Intervalo3"/>
    <protectedRange algorithmName="SHA-512" hashValue="fmLXqBbTOiZlbMv236VyWP47+fJZucYZiquNlQj/N9ONKT3pQCF+jgvywPgD/omnWdo1eAN5z7DMqmGCJaXnOA==" saltValue="rdnOqJQ4K6z46z1YHk/e4w==" spinCount="100000" sqref="H6" name="Intervalo1"/>
    <protectedRange algorithmName="SHA-512" hashValue="Ah6xLASO/UwiSJvpQJuoNoNIo1mfdhLxEsO3FpD0BDF8AlUm+3TEdBDSiVe9ZIm4T7QqVXzZRl2L3m3Xs8wbfg==" saltValue="scGGcdxRv9YW5mFCeF0+XQ==" spinCount="100000" sqref="C26:I27" name="Intervalo5_1"/>
    <protectedRange algorithmName="SHA-512" hashValue="k8qMKHorOWOiGUjEQzj/o9qZPhGX84Mwa9tVj7bwWNVcpBtdEVmkPVuzzY0Twt43/ftKl8YkRAAH2Fn4jsLTkg==" saltValue="GUP9L+gkZFeuCb0LAoRJMw==" spinCount="100000" sqref="N17:O20" name="Intervalo4_3"/>
    <protectedRange algorithmName="SHA-512" hashValue="11zYvWi56RXEYTNfWa/zGnrLHzo8OTizHyypLoXUHCi0Dps7F+nOmoEcVfjPlv4v70f3kAkEpFKUUAY2/f+67w==" saltValue="j7ywFm4wbW9tRqNX/QIEOA==" spinCount="100000" sqref="H32" name="Intervalo6_2"/>
    <protectedRange algorithmName="SHA-512" hashValue="WqOapSOrsN1ZIylEeDg8qsMj3/Ei4DSu+yanIGPrB9mdgPDIIehqzbgeAAg8EWvIcWBY5VOT/h31EIMHRZGAMQ==" saltValue="+ug9f8pTOmSSZ2JyYuT7TA==" spinCount="100000" sqref="G86" name="Intervalo8_2"/>
    <protectedRange algorithmName="SHA-512" hashValue="bhbqRQLX8rgbvsG2EOjXKaPiwCv1gO5p9m4DlSaHzQPzQSj2JHWn9xeN2TbHSmmCrAcvR7H4sNdY7ES+wuefyg==" saltValue="v3eAT0tAxQOj7pSMAM0DcA==" spinCount="100000" sqref="G84" name="Intervalo7_2"/>
    <protectedRange algorithmName="SHA-512" hashValue="Ah6xLASO/UwiSJvpQJuoNoNIo1mfdhLxEsO3FpD0BDF8AlUm+3TEdBDSiVe9ZIm4T7QqVXzZRl2L3m3Xs8wbfg==" saltValue="scGGcdxRv9YW5mFCeF0+XQ==" spinCount="100000" sqref="J25:K25" name="Intervalo5_2"/>
  </protectedRanges>
  <mergeCells count="255">
    <mergeCell ref="B111:E111"/>
    <mergeCell ref="B112:G112"/>
    <mergeCell ref="H112:I112"/>
    <mergeCell ref="B113:G113"/>
    <mergeCell ref="H113:I113"/>
    <mergeCell ref="H86:I86"/>
    <mergeCell ref="B87:F87"/>
    <mergeCell ref="G87:I87"/>
    <mergeCell ref="B88:I88"/>
    <mergeCell ref="B89:H89"/>
    <mergeCell ref="B90:D91"/>
    <mergeCell ref="E90:E91"/>
    <mergeCell ref="I90:I91"/>
    <mergeCell ref="F91:H91"/>
    <mergeCell ref="B105:G105"/>
    <mergeCell ref="H105:I105"/>
    <mergeCell ref="B107:G107"/>
    <mergeCell ref="B106:G106"/>
    <mergeCell ref="H106:I106"/>
    <mergeCell ref="H107:I107"/>
    <mergeCell ref="B108:J108"/>
    <mergeCell ref="B109:G109"/>
    <mergeCell ref="H109:I110"/>
    <mergeCell ref="B110:E110"/>
    <mergeCell ref="B102:G102"/>
    <mergeCell ref="H102:I102"/>
    <mergeCell ref="B103:G103"/>
    <mergeCell ref="H103:I103"/>
    <mergeCell ref="B104:G104"/>
    <mergeCell ref="H104:I104"/>
    <mergeCell ref="B101:G101"/>
    <mergeCell ref="H101:I101"/>
    <mergeCell ref="B98:G98"/>
    <mergeCell ref="H98:I98"/>
    <mergeCell ref="B99:J100"/>
    <mergeCell ref="H95:I95"/>
    <mergeCell ref="C96:F96"/>
    <mergeCell ref="H96:I96"/>
    <mergeCell ref="H97:I97"/>
    <mergeCell ref="H92:I92"/>
    <mergeCell ref="H93:I93"/>
    <mergeCell ref="C94:F94"/>
    <mergeCell ref="H94:I94"/>
    <mergeCell ref="C92:F92"/>
    <mergeCell ref="C95:F95"/>
    <mergeCell ref="C97:F97"/>
    <mergeCell ref="B73:G73"/>
    <mergeCell ref="H73:I73"/>
    <mergeCell ref="J73:K73"/>
    <mergeCell ref="B75:J75"/>
    <mergeCell ref="B76:K76"/>
    <mergeCell ref="B81:I81"/>
    <mergeCell ref="F90:H90"/>
    <mergeCell ref="C84:F84"/>
    <mergeCell ref="H84:I84"/>
    <mergeCell ref="B85:F85"/>
    <mergeCell ref="G85:I85"/>
    <mergeCell ref="C86:F86"/>
    <mergeCell ref="B79:I79"/>
    <mergeCell ref="B80:I80"/>
    <mergeCell ref="C83:F83"/>
    <mergeCell ref="H83:I83"/>
    <mergeCell ref="B74:J74"/>
    <mergeCell ref="B77:I77"/>
    <mergeCell ref="B78:I78"/>
    <mergeCell ref="C71:G71"/>
    <mergeCell ref="H71:I71"/>
    <mergeCell ref="J71:K71"/>
    <mergeCell ref="H72:I72"/>
    <mergeCell ref="J72:K72"/>
    <mergeCell ref="C69:G69"/>
    <mergeCell ref="H69:I69"/>
    <mergeCell ref="J69:K69"/>
    <mergeCell ref="C70:G70"/>
    <mergeCell ref="H70:I70"/>
    <mergeCell ref="J70:K70"/>
    <mergeCell ref="C72:G72"/>
    <mergeCell ref="C67:G67"/>
    <mergeCell ref="H67:I67"/>
    <mergeCell ref="J67:K67"/>
    <mergeCell ref="C68:G68"/>
    <mergeCell ref="H68:I68"/>
    <mergeCell ref="J68:K68"/>
    <mergeCell ref="H65:I65"/>
    <mergeCell ref="J65:K65"/>
    <mergeCell ref="H66:I66"/>
    <mergeCell ref="J66:K66"/>
    <mergeCell ref="C65:G65"/>
    <mergeCell ref="B66:G66"/>
    <mergeCell ref="H63:I63"/>
    <mergeCell ref="J63:K63"/>
    <mergeCell ref="H64:I64"/>
    <mergeCell ref="J64:K64"/>
    <mergeCell ref="C62:G62"/>
    <mergeCell ref="H62:I62"/>
    <mergeCell ref="J62:K62"/>
    <mergeCell ref="C63:G63"/>
    <mergeCell ref="B64:G64"/>
    <mergeCell ref="B56:G56"/>
    <mergeCell ref="H56:I56"/>
    <mergeCell ref="J56:K56"/>
    <mergeCell ref="B57:K57"/>
    <mergeCell ref="C60:G60"/>
    <mergeCell ref="H60:I60"/>
    <mergeCell ref="J60:K60"/>
    <mergeCell ref="C61:G61"/>
    <mergeCell ref="H61:I61"/>
    <mergeCell ref="J61:K61"/>
    <mergeCell ref="C58:G58"/>
    <mergeCell ref="H58:I58"/>
    <mergeCell ref="J58:K58"/>
    <mergeCell ref="C59:G59"/>
    <mergeCell ref="H59:I59"/>
    <mergeCell ref="J59:K59"/>
    <mergeCell ref="H55:I55"/>
    <mergeCell ref="J55:K55"/>
    <mergeCell ref="C53:G53"/>
    <mergeCell ref="H53:I53"/>
    <mergeCell ref="J53:K53"/>
    <mergeCell ref="C54:G54"/>
    <mergeCell ref="H54:I54"/>
    <mergeCell ref="J54:K54"/>
    <mergeCell ref="C55:G55"/>
    <mergeCell ref="C51:G51"/>
    <mergeCell ref="H51:I51"/>
    <mergeCell ref="J51:K51"/>
    <mergeCell ref="C52:G52"/>
    <mergeCell ref="H52:I52"/>
    <mergeCell ref="J52:K52"/>
    <mergeCell ref="C49:G49"/>
    <mergeCell ref="H49:I49"/>
    <mergeCell ref="J49:K49"/>
    <mergeCell ref="C50:G50"/>
    <mergeCell ref="H50:I50"/>
    <mergeCell ref="J50:K50"/>
    <mergeCell ref="H47:I47"/>
    <mergeCell ref="J47:K47"/>
    <mergeCell ref="H48:I48"/>
    <mergeCell ref="J48:K48"/>
    <mergeCell ref="C45:G45"/>
    <mergeCell ref="H45:I45"/>
    <mergeCell ref="J45:K45"/>
    <mergeCell ref="C46:G46"/>
    <mergeCell ref="H46:I46"/>
    <mergeCell ref="J46:K46"/>
    <mergeCell ref="C47:G47"/>
    <mergeCell ref="B48:G48"/>
    <mergeCell ref="H43:I43"/>
    <mergeCell ref="J43:K43"/>
    <mergeCell ref="H44:I44"/>
    <mergeCell ref="J44:K44"/>
    <mergeCell ref="C41:G41"/>
    <mergeCell ref="H41:I41"/>
    <mergeCell ref="J41:K41"/>
    <mergeCell ref="C42:G42"/>
    <mergeCell ref="H42:I42"/>
    <mergeCell ref="J42:K42"/>
    <mergeCell ref="C43:G43"/>
    <mergeCell ref="B44:G44"/>
    <mergeCell ref="H39:I39"/>
    <mergeCell ref="J39:K39"/>
    <mergeCell ref="H40:I40"/>
    <mergeCell ref="J40:K40"/>
    <mergeCell ref="C37:G37"/>
    <mergeCell ref="H37:I37"/>
    <mergeCell ref="J37:K37"/>
    <mergeCell ref="C38:G38"/>
    <mergeCell ref="H38:I38"/>
    <mergeCell ref="J38:K38"/>
    <mergeCell ref="C39:G39"/>
    <mergeCell ref="B40:G40"/>
    <mergeCell ref="C35:G35"/>
    <mergeCell ref="H35:I35"/>
    <mergeCell ref="J35:K35"/>
    <mergeCell ref="C36:G36"/>
    <mergeCell ref="H36:I36"/>
    <mergeCell ref="J36:K36"/>
    <mergeCell ref="C33:G33"/>
    <mergeCell ref="H33:I33"/>
    <mergeCell ref="J33:K33"/>
    <mergeCell ref="C34:G34"/>
    <mergeCell ref="H34:I34"/>
    <mergeCell ref="J34:K34"/>
    <mergeCell ref="C31:G31"/>
    <mergeCell ref="H31:I31"/>
    <mergeCell ref="J31:K31"/>
    <mergeCell ref="C32:G32"/>
    <mergeCell ref="H32:I32"/>
    <mergeCell ref="J32:K32"/>
    <mergeCell ref="C27:I27"/>
    <mergeCell ref="J27:K27"/>
    <mergeCell ref="B28:I28"/>
    <mergeCell ref="J28:K28"/>
    <mergeCell ref="B29:K29"/>
    <mergeCell ref="B30:J30"/>
    <mergeCell ref="H18:I18"/>
    <mergeCell ref="J18:K18"/>
    <mergeCell ref="C24:I24"/>
    <mergeCell ref="J24:K24"/>
    <mergeCell ref="C25:I25"/>
    <mergeCell ref="J25:K25"/>
    <mergeCell ref="C26:I26"/>
    <mergeCell ref="J26:K26"/>
    <mergeCell ref="B21:I21"/>
    <mergeCell ref="J21:K21"/>
    <mergeCell ref="B22:K22"/>
    <mergeCell ref="C23:I23"/>
    <mergeCell ref="J23:K23"/>
    <mergeCell ref="M14:S14"/>
    <mergeCell ref="B15:K15"/>
    <mergeCell ref="M15:M16"/>
    <mergeCell ref="N15:N16"/>
    <mergeCell ref="O15:O16"/>
    <mergeCell ref="P15:P16"/>
    <mergeCell ref="Q15:Q16"/>
    <mergeCell ref="R15:R16"/>
    <mergeCell ref="S15:S16"/>
    <mergeCell ref="C16:F16"/>
    <mergeCell ref="H16:I16"/>
    <mergeCell ref="J16:K16"/>
    <mergeCell ref="B2:I2"/>
    <mergeCell ref="J2:K5"/>
    <mergeCell ref="B5:F5"/>
    <mergeCell ref="H5:I5"/>
    <mergeCell ref="B6:F6"/>
    <mergeCell ref="H6:I6"/>
    <mergeCell ref="J6:K6"/>
    <mergeCell ref="B10:K10"/>
    <mergeCell ref="B11:K11"/>
    <mergeCell ref="B3:G3"/>
    <mergeCell ref="H3:I3"/>
    <mergeCell ref="B4:I4"/>
    <mergeCell ref="C12:I12"/>
    <mergeCell ref="J12:K12"/>
    <mergeCell ref="C13:I13"/>
    <mergeCell ref="J13:K13"/>
    <mergeCell ref="H111:I111"/>
    <mergeCell ref="J9:K9"/>
    <mergeCell ref="B9:I9"/>
    <mergeCell ref="B7:F7"/>
    <mergeCell ref="H7:I7"/>
    <mergeCell ref="J7:K7"/>
    <mergeCell ref="B8:I8"/>
    <mergeCell ref="J8:K8"/>
    <mergeCell ref="B14:I14"/>
    <mergeCell ref="J14:K14"/>
    <mergeCell ref="C19:F19"/>
    <mergeCell ref="H19:I19"/>
    <mergeCell ref="J19:K19"/>
    <mergeCell ref="C20:F20"/>
    <mergeCell ref="H20:I20"/>
    <mergeCell ref="C17:F17"/>
    <mergeCell ref="H17:I17"/>
    <mergeCell ref="J17:K17"/>
    <mergeCell ref="C18:F18"/>
  </mergeCells>
  <dataValidations disablePrompts="1" count="1">
    <dataValidation type="list" allowBlank="1" showInputMessage="1" showErrorMessage="1" sqref="H3:I3">
      <formula1>$V$35:$V$37</formula1>
    </dataValidation>
  </dataValidations>
  <pageMargins left="0.25" right="0.25"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V42"/>
  <sheetViews>
    <sheetView workbookViewId="0">
      <selection activeCell="N42" sqref="N42"/>
    </sheetView>
  </sheetViews>
  <sheetFormatPr defaultColWidth="0" defaultRowHeight="15" zeroHeight="1"/>
  <cols>
    <col min="1" max="1" width="4.7109375" style="9" bestFit="1" customWidth="1"/>
    <col min="2" max="2" width="27.5703125" style="9" bestFit="1" customWidth="1"/>
    <col min="3" max="3" width="8.28515625" style="9" customWidth="1"/>
    <col min="4" max="4" width="15.140625" style="9" customWidth="1"/>
    <col min="5" max="5" width="10.5703125" style="347" customWidth="1"/>
    <col min="6" max="6" width="7" style="347" customWidth="1"/>
    <col min="7" max="7" width="10" style="347" customWidth="1"/>
    <col min="8" max="8" width="10.7109375" style="347" customWidth="1"/>
    <col min="9" max="9" width="8.5703125" style="347" customWidth="1"/>
    <col min="10" max="10" width="11" style="347" customWidth="1"/>
    <col min="11" max="11" width="13" style="347" customWidth="1"/>
    <col min="12" max="12" width="8" style="347" customWidth="1"/>
    <col min="13" max="13" width="11.85546875" style="392" bestFit="1" customWidth="1"/>
    <col min="14" max="14" width="14.85546875" style="348" customWidth="1"/>
    <col min="15" max="15" width="13.28515625" style="320" bestFit="1" customWidth="1"/>
    <col min="16" max="17" width="11.85546875" style="320" hidden="1" customWidth="1"/>
    <col min="18" max="18" width="9.5703125" style="34" hidden="1" customWidth="1"/>
    <col min="19" max="20" width="9.140625" style="9" hidden="1" customWidth="1"/>
    <col min="21" max="21" width="12.7109375" style="9" hidden="1" customWidth="1"/>
    <col min="22" max="22" width="11" style="9" hidden="1" customWidth="1"/>
    <col min="23" max="16384" width="9.140625" style="9" hidden="1"/>
  </cols>
  <sheetData>
    <row r="1" spans="1:22"/>
    <row r="2" spans="1:22" ht="15.75" thickBot="1">
      <c r="B2" s="657" t="s">
        <v>397</v>
      </c>
      <c r="C2" s="657"/>
      <c r="D2" s="657"/>
      <c r="E2" s="657"/>
      <c r="F2" s="657"/>
      <c r="G2" s="657"/>
      <c r="H2" s="657"/>
      <c r="I2" s="657"/>
      <c r="J2" s="657"/>
      <c r="K2" s="657"/>
      <c r="L2" s="657"/>
      <c r="M2" s="658"/>
      <c r="N2" s="657"/>
      <c r="O2" s="657"/>
    </row>
    <row r="3" spans="1:22" ht="30">
      <c r="A3" s="321"/>
      <c r="B3" s="322" t="s">
        <v>30</v>
      </c>
      <c r="C3" s="322" t="s">
        <v>31</v>
      </c>
      <c r="D3" s="322" t="s">
        <v>32</v>
      </c>
      <c r="E3" s="323" t="s">
        <v>7</v>
      </c>
      <c r="F3" s="323" t="s">
        <v>80</v>
      </c>
      <c r="G3" s="323" t="s">
        <v>2</v>
      </c>
      <c r="H3" s="323" t="s">
        <v>4</v>
      </c>
      <c r="I3" s="323" t="s">
        <v>5</v>
      </c>
      <c r="J3" s="323" t="s">
        <v>8</v>
      </c>
      <c r="K3" s="323" t="s">
        <v>6</v>
      </c>
      <c r="L3" s="323" t="s">
        <v>33</v>
      </c>
      <c r="M3" s="393" t="s">
        <v>562</v>
      </c>
      <c r="N3" s="324" t="s">
        <v>405</v>
      </c>
      <c r="O3" s="323" t="s">
        <v>131</v>
      </c>
      <c r="P3" s="325"/>
      <c r="Q3" s="325"/>
    </row>
    <row r="4" spans="1:22" ht="15" customHeight="1">
      <c r="A4" s="655" t="s">
        <v>34</v>
      </c>
      <c r="B4" s="326" t="s">
        <v>35</v>
      </c>
      <c r="C4" s="326" t="s">
        <v>36</v>
      </c>
      <c r="D4" s="326" t="s">
        <v>37</v>
      </c>
      <c r="E4" s="327">
        <v>5</v>
      </c>
      <c r="F4" s="327">
        <v>2</v>
      </c>
      <c r="G4" s="327">
        <v>3</v>
      </c>
      <c r="H4" s="327">
        <v>10</v>
      </c>
      <c r="I4" s="327">
        <v>3.5</v>
      </c>
      <c r="J4" s="327">
        <v>13</v>
      </c>
      <c r="K4" s="327">
        <v>4</v>
      </c>
      <c r="L4" s="327">
        <v>20</v>
      </c>
      <c r="M4" s="394">
        <f>SUM(E4:L4)</f>
        <v>60.5</v>
      </c>
      <c r="N4" s="386">
        <v>0</v>
      </c>
      <c r="O4" s="390">
        <f>N4*M4</f>
        <v>0</v>
      </c>
      <c r="P4" s="328"/>
      <c r="Q4" s="328"/>
      <c r="R4" s="329"/>
      <c r="T4" s="330"/>
      <c r="U4" s="331"/>
      <c r="V4" s="332"/>
    </row>
    <row r="5" spans="1:22">
      <c r="A5" s="655"/>
      <c r="B5" s="326" t="s">
        <v>38</v>
      </c>
      <c r="C5" s="326" t="s">
        <v>39</v>
      </c>
      <c r="D5" s="326" t="s">
        <v>40</v>
      </c>
      <c r="E5" s="327">
        <v>1</v>
      </c>
      <c r="F5" s="327">
        <v>1</v>
      </c>
      <c r="G5" s="327">
        <v>2</v>
      </c>
      <c r="H5" s="327">
        <v>2.5</v>
      </c>
      <c r="I5" s="327">
        <v>1</v>
      </c>
      <c r="J5" s="333"/>
      <c r="K5" s="327">
        <v>1</v>
      </c>
      <c r="L5" s="327">
        <v>8</v>
      </c>
      <c r="M5" s="395">
        <f t="shared" ref="M5:M41" si="0">SUM(E5:L5)</f>
        <v>16.5</v>
      </c>
      <c r="N5" s="384">
        <v>0</v>
      </c>
      <c r="O5" s="390">
        <f t="shared" ref="O5:O15" si="1">N5*M5</f>
        <v>0</v>
      </c>
      <c r="P5" s="328"/>
      <c r="Q5" s="328"/>
      <c r="R5" s="329"/>
      <c r="T5" s="330"/>
    </row>
    <row r="6" spans="1:22">
      <c r="A6" s="655"/>
      <c r="B6" s="326" t="s">
        <v>41</v>
      </c>
      <c r="C6" s="326" t="s">
        <v>36</v>
      </c>
      <c r="D6" s="326" t="s">
        <v>42</v>
      </c>
      <c r="E6" s="327">
        <v>10</v>
      </c>
      <c r="F6" s="327">
        <v>6</v>
      </c>
      <c r="G6" s="327">
        <v>5</v>
      </c>
      <c r="H6" s="327">
        <v>40</v>
      </c>
      <c r="I6" s="327">
        <v>7</v>
      </c>
      <c r="J6" s="327">
        <v>30</v>
      </c>
      <c r="K6" s="327">
        <v>20</v>
      </c>
      <c r="L6" s="327">
        <v>48</v>
      </c>
      <c r="M6" s="395">
        <f t="shared" si="0"/>
        <v>166</v>
      </c>
      <c r="N6" s="384">
        <v>0</v>
      </c>
      <c r="O6" s="390">
        <f t="shared" si="1"/>
        <v>0</v>
      </c>
      <c r="P6" s="328"/>
      <c r="Q6" s="328"/>
      <c r="R6" s="329"/>
      <c r="T6" s="330"/>
    </row>
    <row r="7" spans="1:22">
      <c r="A7" s="655"/>
      <c r="B7" s="326" t="s">
        <v>43</v>
      </c>
      <c r="C7" s="326" t="s">
        <v>36</v>
      </c>
      <c r="D7" s="326" t="s">
        <v>44</v>
      </c>
      <c r="E7" s="327">
        <v>1</v>
      </c>
      <c r="F7" s="327">
        <v>1</v>
      </c>
      <c r="G7" s="327">
        <v>2</v>
      </c>
      <c r="H7" s="327">
        <v>1</v>
      </c>
      <c r="I7" s="327">
        <f>30/25</f>
        <v>1.2</v>
      </c>
      <c r="J7" s="327">
        <v>2</v>
      </c>
      <c r="K7" s="327">
        <v>2</v>
      </c>
      <c r="L7" s="327">
        <v>20</v>
      </c>
      <c r="M7" s="395">
        <f t="shared" si="0"/>
        <v>30.2</v>
      </c>
      <c r="N7" s="384">
        <v>0</v>
      </c>
      <c r="O7" s="390">
        <f t="shared" si="1"/>
        <v>0</v>
      </c>
      <c r="P7" s="328"/>
      <c r="Q7" s="328"/>
      <c r="R7" s="329"/>
      <c r="T7" s="334"/>
    </row>
    <row r="8" spans="1:22">
      <c r="A8" s="655"/>
      <c r="B8" s="326" t="s">
        <v>45</v>
      </c>
      <c r="C8" s="326" t="s">
        <v>36</v>
      </c>
      <c r="D8" s="326" t="s">
        <v>567</v>
      </c>
      <c r="E8" s="327">
        <v>0.5</v>
      </c>
      <c r="F8" s="327">
        <v>1</v>
      </c>
      <c r="G8" s="327">
        <v>0</v>
      </c>
      <c r="H8" s="327">
        <v>1</v>
      </c>
      <c r="I8" s="327">
        <f>7/25</f>
        <v>0.28000000000000003</v>
      </c>
      <c r="J8" s="327">
        <v>1</v>
      </c>
      <c r="K8" s="333"/>
      <c r="L8" s="327">
        <v>1</v>
      </c>
      <c r="M8" s="395">
        <f t="shared" si="0"/>
        <v>4.78</v>
      </c>
      <c r="N8" s="384">
        <v>0</v>
      </c>
      <c r="O8" s="390">
        <f t="shared" si="1"/>
        <v>0</v>
      </c>
      <c r="P8" s="328"/>
      <c r="Q8" s="328"/>
      <c r="R8" s="329"/>
      <c r="T8" s="330"/>
    </row>
    <row r="9" spans="1:22">
      <c r="A9" s="655"/>
      <c r="B9" s="326" t="s">
        <v>46</v>
      </c>
      <c r="C9" s="326" t="s">
        <v>36</v>
      </c>
      <c r="D9" s="326" t="s">
        <v>47</v>
      </c>
      <c r="E9" s="333"/>
      <c r="F9" s="327">
        <v>1</v>
      </c>
      <c r="G9" s="333">
        <v>0</v>
      </c>
      <c r="H9" s="327">
        <v>0</v>
      </c>
      <c r="I9" s="333"/>
      <c r="J9" s="333"/>
      <c r="K9" s="333"/>
      <c r="L9" s="327">
        <v>0</v>
      </c>
      <c r="M9" s="395">
        <f t="shared" si="0"/>
        <v>1</v>
      </c>
      <c r="N9" s="384">
        <v>0</v>
      </c>
      <c r="O9" s="390">
        <f t="shared" si="1"/>
        <v>0</v>
      </c>
      <c r="P9" s="328"/>
      <c r="Q9" s="328"/>
      <c r="R9" s="329"/>
      <c r="T9" s="330"/>
    </row>
    <row r="10" spans="1:22">
      <c r="A10" s="655"/>
      <c r="B10" s="326" t="s">
        <v>48</v>
      </c>
      <c r="C10" s="326" t="s">
        <v>36</v>
      </c>
      <c r="D10" s="326" t="s">
        <v>47</v>
      </c>
      <c r="E10" s="327">
        <v>6</v>
      </c>
      <c r="F10" s="333"/>
      <c r="G10" s="327">
        <v>3</v>
      </c>
      <c r="H10" s="327">
        <v>3</v>
      </c>
      <c r="I10" s="327">
        <v>5</v>
      </c>
      <c r="J10" s="333"/>
      <c r="K10" s="333"/>
      <c r="L10" s="327">
        <v>0</v>
      </c>
      <c r="M10" s="395">
        <f t="shared" si="0"/>
        <v>17</v>
      </c>
      <c r="N10" s="384">
        <v>0</v>
      </c>
      <c r="O10" s="390">
        <f t="shared" si="1"/>
        <v>0</v>
      </c>
      <c r="P10" s="328"/>
      <c r="Q10" s="328"/>
      <c r="R10" s="329"/>
      <c r="T10" s="330"/>
    </row>
    <row r="11" spans="1:22">
      <c r="A11" s="655"/>
      <c r="B11" s="326" t="s">
        <v>49</v>
      </c>
      <c r="C11" s="326" t="s">
        <v>36</v>
      </c>
      <c r="D11" s="326" t="s">
        <v>50</v>
      </c>
      <c r="E11" s="327">
        <v>0</v>
      </c>
      <c r="F11" s="327">
        <v>0.5</v>
      </c>
      <c r="G11" s="327">
        <v>1</v>
      </c>
      <c r="H11" s="327">
        <v>0.1</v>
      </c>
      <c r="I11" s="327">
        <v>0</v>
      </c>
      <c r="J11" s="327">
        <v>1</v>
      </c>
      <c r="K11" s="327">
        <v>1</v>
      </c>
      <c r="L11" s="327">
        <v>0</v>
      </c>
      <c r="M11" s="395">
        <f t="shared" si="0"/>
        <v>3.6</v>
      </c>
      <c r="N11" s="384">
        <v>0</v>
      </c>
      <c r="O11" s="390">
        <f t="shared" si="1"/>
        <v>0</v>
      </c>
      <c r="P11" s="328"/>
      <c r="Q11" s="328"/>
      <c r="R11" s="329"/>
      <c r="T11" s="330"/>
    </row>
    <row r="12" spans="1:22">
      <c r="A12" s="655"/>
      <c r="B12" s="326" t="s">
        <v>51</v>
      </c>
      <c r="C12" s="326" t="s">
        <v>36</v>
      </c>
      <c r="D12" s="326" t="s">
        <v>52</v>
      </c>
      <c r="E12" s="327">
        <v>0</v>
      </c>
      <c r="F12" s="327">
        <v>4</v>
      </c>
      <c r="G12" s="327">
        <v>3</v>
      </c>
      <c r="H12" s="327">
        <v>10</v>
      </c>
      <c r="I12" s="327">
        <v>1</v>
      </c>
      <c r="J12" s="327">
        <v>1</v>
      </c>
      <c r="K12" s="327">
        <v>4</v>
      </c>
      <c r="L12" s="327">
        <v>60</v>
      </c>
      <c r="M12" s="395">
        <f t="shared" si="0"/>
        <v>83</v>
      </c>
      <c r="N12" s="384">
        <v>0</v>
      </c>
      <c r="O12" s="390">
        <f t="shared" si="1"/>
        <v>0</v>
      </c>
      <c r="P12" s="328"/>
      <c r="Q12" s="328"/>
      <c r="R12" s="329"/>
      <c r="T12" s="330"/>
    </row>
    <row r="13" spans="1:22">
      <c r="A13" s="655"/>
      <c r="B13" s="326" t="s">
        <v>53</v>
      </c>
      <c r="C13" s="326" t="s">
        <v>36</v>
      </c>
      <c r="D13" s="326" t="s">
        <v>54</v>
      </c>
      <c r="E13" s="327">
        <v>1</v>
      </c>
      <c r="F13" s="327"/>
      <c r="G13" s="327">
        <v>2</v>
      </c>
      <c r="H13" s="327">
        <v>3</v>
      </c>
      <c r="I13" s="327">
        <v>1</v>
      </c>
      <c r="J13" s="327">
        <v>2</v>
      </c>
      <c r="K13" s="335"/>
      <c r="L13" s="327">
        <v>5</v>
      </c>
      <c r="M13" s="395">
        <f t="shared" si="0"/>
        <v>14</v>
      </c>
      <c r="N13" s="384">
        <v>0</v>
      </c>
      <c r="O13" s="390">
        <f t="shared" si="1"/>
        <v>0</v>
      </c>
      <c r="P13" s="328"/>
      <c r="Q13" s="328"/>
      <c r="R13" s="329"/>
      <c r="T13" s="330"/>
    </row>
    <row r="14" spans="1:22" ht="15" customHeight="1">
      <c r="A14" s="656" t="s">
        <v>55</v>
      </c>
      <c r="B14" s="326" t="s">
        <v>56</v>
      </c>
      <c r="C14" s="326" t="s">
        <v>57</v>
      </c>
      <c r="D14" s="326" t="s">
        <v>58</v>
      </c>
      <c r="E14" s="327">
        <v>8</v>
      </c>
      <c r="F14" s="327">
        <v>4</v>
      </c>
      <c r="G14" s="327">
        <v>6</v>
      </c>
      <c r="H14" s="327">
        <v>8</v>
      </c>
      <c r="I14" s="327">
        <v>5</v>
      </c>
      <c r="J14" s="327">
        <v>6</v>
      </c>
      <c r="K14" s="327">
        <v>4</v>
      </c>
      <c r="L14" s="327">
        <v>40</v>
      </c>
      <c r="M14" s="395">
        <f t="shared" si="0"/>
        <v>81</v>
      </c>
      <c r="N14" s="384">
        <v>0</v>
      </c>
      <c r="O14" s="390">
        <f t="shared" si="1"/>
        <v>0</v>
      </c>
      <c r="P14" s="328"/>
      <c r="Q14" s="328"/>
      <c r="R14" s="329"/>
      <c r="T14" s="330"/>
    </row>
    <row r="15" spans="1:22">
      <c r="A15" s="656"/>
      <c r="B15" s="326" t="s">
        <v>321</v>
      </c>
      <c r="C15" s="326" t="s">
        <v>57</v>
      </c>
      <c r="D15" s="326" t="s">
        <v>58</v>
      </c>
      <c r="E15" s="327">
        <v>2</v>
      </c>
      <c r="F15" s="327">
        <v>1</v>
      </c>
      <c r="G15" s="327">
        <v>3</v>
      </c>
      <c r="H15" s="327">
        <v>1</v>
      </c>
      <c r="I15" s="327">
        <v>4</v>
      </c>
      <c r="J15" s="327">
        <v>6</v>
      </c>
      <c r="K15" s="327">
        <v>1</v>
      </c>
      <c r="L15" s="327">
        <v>23</v>
      </c>
      <c r="M15" s="395">
        <f t="shared" si="0"/>
        <v>41</v>
      </c>
      <c r="N15" s="384">
        <v>0</v>
      </c>
      <c r="O15" s="390">
        <f t="shared" si="1"/>
        <v>0</v>
      </c>
      <c r="P15" s="328"/>
      <c r="Q15" s="328"/>
      <c r="R15" s="329"/>
      <c r="T15" s="330"/>
    </row>
    <row r="16" spans="1:22">
      <c r="A16" s="656"/>
      <c r="B16" s="326" t="s">
        <v>325</v>
      </c>
      <c r="C16" s="326" t="s">
        <v>57</v>
      </c>
      <c r="D16" s="326" t="s">
        <v>324</v>
      </c>
      <c r="E16" s="327">
        <v>0</v>
      </c>
      <c r="F16" s="327">
        <v>6</v>
      </c>
      <c r="G16" s="327">
        <v>0</v>
      </c>
      <c r="H16" s="327">
        <v>4</v>
      </c>
      <c r="I16" s="327">
        <v>0</v>
      </c>
      <c r="J16" s="327"/>
      <c r="K16" s="327"/>
      <c r="L16" s="327">
        <v>40</v>
      </c>
      <c r="M16" s="395">
        <f t="shared" si="0"/>
        <v>50</v>
      </c>
      <c r="N16" s="384">
        <v>0</v>
      </c>
      <c r="O16" s="390">
        <f t="shared" ref="O16:O41" si="2">N16*M16</f>
        <v>0</v>
      </c>
      <c r="P16" s="328"/>
      <c r="Q16" s="328"/>
      <c r="R16" s="329"/>
      <c r="T16" s="330"/>
    </row>
    <row r="17" spans="1:20">
      <c r="A17" s="656"/>
      <c r="B17" s="336" t="s">
        <v>59</v>
      </c>
      <c r="C17" s="336" t="s">
        <v>57</v>
      </c>
      <c r="D17" s="336" t="s">
        <v>60</v>
      </c>
      <c r="E17" s="337">
        <v>2</v>
      </c>
      <c r="F17" s="327">
        <v>0.4</v>
      </c>
      <c r="G17" s="327">
        <v>3</v>
      </c>
      <c r="H17" s="327">
        <v>1.5</v>
      </c>
      <c r="I17" s="327">
        <v>1</v>
      </c>
      <c r="J17" s="327">
        <v>2</v>
      </c>
      <c r="K17" s="327">
        <v>1</v>
      </c>
      <c r="L17" s="327">
        <v>28</v>
      </c>
      <c r="M17" s="395">
        <f t="shared" si="0"/>
        <v>38.9</v>
      </c>
      <c r="N17" s="384">
        <v>0</v>
      </c>
      <c r="O17" s="390">
        <f t="shared" si="2"/>
        <v>0</v>
      </c>
      <c r="P17" s="328"/>
      <c r="Q17" s="328"/>
      <c r="R17" s="329"/>
      <c r="T17" s="330"/>
    </row>
    <row r="18" spans="1:20">
      <c r="A18" s="656"/>
      <c r="B18" s="336" t="s">
        <v>323</v>
      </c>
      <c r="C18" s="336" t="s">
        <v>57</v>
      </c>
      <c r="D18" s="336" t="s">
        <v>62</v>
      </c>
      <c r="E18" s="337">
        <v>2</v>
      </c>
      <c r="F18" s="327">
        <v>4</v>
      </c>
      <c r="G18" s="327">
        <v>3</v>
      </c>
      <c r="H18" s="327">
        <v>5.5</v>
      </c>
      <c r="I18" s="327">
        <v>4</v>
      </c>
      <c r="J18" s="327">
        <v>4</v>
      </c>
      <c r="K18" s="327">
        <v>2</v>
      </c>
      <c r="L18" s="327">
        <v>40</v>
      </c>
      <c r="M18" s="395">
        <f t="shared" si="0"/>
        <v>64.5</v>
      </c>
      <c r="N18" s="384">
        <v>0</v>
      </c>
      <c r="O18" s="390">
        <f t="shared" si="2"/>
        <v>0</v>
      </c>
      <c r="P18" s="328"/>
      <c r="Q18" s="328"/>
      <c r="R18" s="329"/>
      <c r="T18" s="330"/>
    </row>
    <row r="19" spans="1:20">
      <c r="A19" s="656"/>
      <c r="B19" s="336" t="s">
        <v>82</v>
      </c>
      <c r="C19" s="336" t="s">
        <v>57</v>
      </c>
      <c r="D19" s="336" t="s">
        <v>61</v>
      </c>
      <c r="E19" s="337">
        <v>0</v>
      </c>
      <c r="F19" s="327">
        <f>1/3</f>
        <v>0.33333333333333331</v>
      </c>
      <c r="G19" s="327">
        <f>1/3</f>
        <v>0.33333333333333331</v>
      </c>
      <c r="H19" s="327">
        <v>1</v>
      </c>
      <c r="I19" s="327">
        <v>1</v>
      </c>
      <c r="J19" s="327">
        <v>1</v>
      </c>
      <c r="K19" s="327">
        <v>1</v>
      </c>
      <c r="L19" s="327">
        <v>8</v>
      </c>
      <c r="M19" s="395">
        <f t="shared" si="0"/>
        <v>12.666666666666666</v>
      </c>
      <c r="N19" s="384">
        <v>0</v>
      </c>
      <c r="O19" s="390">
        <f t="shared" si="2"/>
        <v>0</v>
      </c>
      <c r="P19" s="328"/>
      <c r="Q19" s="328"/>
      <c r="R19" s="329"/>
      <c r="T19" s="330"/>
    </row>
    <row r="20" spans="1:20">
      <c r="A20" s="656"/>
      <c r="B20" s="336" t="s">
        <v>63</v>
      </c>
      <c r="C20" s="336" t="s">
        <v>57</v>
      </c>
      <c r="D20" s="336" t="s">
        <v>64</v>
      </c>
      <c r="E20" s="337">
        <v>2</v>
      </c>
      <c r="F20" s="327">
        <v>0.5</v>
      </c>
      <c r="G20" s="333">
        <v>0</v>
      </c>
      <c r="H20" s="327">
        <f>1/8</f>
        <v>0.125</v>
      </c>
      <c r="I20" s="327">
        <v>0</v>
      </c>
      <c r="J20" s="327">
        <v>4</v>
      </c>
      <c r="K20" s="327">
        <v>2</v>
      </c>
      <c r="L20" s="327"/>
      <c r="M20" s="395">
        <f t="shared" si="0"/>
        <v>8.625</v>
      </c>
      <c r="N20" s="384">
        <v>0</v>
      </c>
      <c r="O20" s="390">
        <f t="shared" si="2"/>
        <v>0</v>
      </c>
      <c r="P20" s="328"/>
      <c r="Q20" s="328"/>
      <c r="R20" s="329"/>
      <c r="T20" s="330"/>
    </row>
    <row r="21" spans="1:20">
      <c r="A21" s="656"/>
      <c r="B21" s="336" t="s">
        <v>545</v>
      </c>
      <c r="C21" s="336" t="s">
        <v>57</v>
      </c>
      <c r="D21" s="336" t="s">
        <v>61</v>
      </c>
      <c r="E21" s="337">
        <v>4</v>
      </c>
      <c r="F21" s="327">
        <v>1</v>
      </c>
      <c r="G21" s="327">
        <v>1.5</v>
      </c>
      <c r="H21" s="327">
        <v>2.5</v>
      </c>
      <c r="I21" s="327">
        <v>3</v>
      </c>
      <c r="J21" s="327">
        <v>4</v>
      </c>
      <c r="K21" s="327">
        <v>3</v>
      </c>
      <c r="L21" s="327">
        <v>20</v>
      </c>
      <c r="M21" s="395">
        <f t="shared" si="0"/>
        <v>39</v>
      </c>
      <c r="N21" s="384">
        <v>0</v>
      </c>
      <c r="O21" s="390">
        <f t="shared" si="2"/>
        <v>0</v>
      </c>
      <c r="P21" s="328"/>
      <c r="Q21" s="328"/>
      <c r="R21" s="329"/>
      <c r="T21" s="330"/>
    </row>
    <row r="22" spans="1:20">
      <c r="A22" s="656"/>
      <c r="B22" s="336" t="s">
        <v>65</v>
      </c>
      <c r="C22" s="336" t="s">
        <v>57</v>
      </c>
      <c r="D22" s="336" t="s">
        <v>61</v>
      </c>
      <c r="E22" s="337">
        <v>2</v>
      </c>
      <c r="F22" s="327">
        <v>1</v>
      </c>
      <c r="G22" s="327">
        <v>1</v>
      </c>
      <c r="H22" s="327">
        <v>3</v>
      </c>
      <c r="I22" s="327">
        <v>1</v>
      </c>
      <c r="J22" s="327">
        <v>6</v>
      </c>
      <c r="K22" s="333"/>
      <c r="L22" s="327">
        <v>12</v>
      </c>
      <c r="M22" s="395">
        <f t="shared" si="0"/>
        <v>26</v>
      </c>
      <c r="N22" s="384">
        <v>0</v>
      </c>
      <c r="O22" s="390">
        <f t="shared" si="2"/>
        <v>0</v>
      </c>
      <c r="P22" s="328"/>
      <c r="Q22" s="328"/>
      <c r="R22" s="329"/>
      <c r="T22" s="330"/>
    </row>
    <row r="23" spans="1:20">
      <c r="A23" s="656"/>
      <c r="B23" s="336" t="s">
        <v>66</v>
      </c>
      <c r="C23" s="336" t="s">
        <v>57</v>
      </c>
      <c r="D23" s="336" t="s">
        <v>61</v>
      </c>
      <c r="E23" s="337">
        <v>1</v>
      </c>
      <c r="F23" s="327">
        <v>1</v>
      </c>
      <c r="G23" s="333">
        <v>0</v>
      </c>
      <c r="H23" s="327">
        <v>0.5</v>
      </c>
      <c r="I23" s="327">
        <v>1</v>
      </c>
      <c r="J23" s="327">
        <v>6</v>
      </c>
      <c r="K23" s="327">
        <v>1</v>
      </c>
      <c r="L23" s="327">
        <v>48</v>
      </c>
      <c r="M23" s="395">
        <f t="shared" si="0"/>
        <v>58.5</v>
      </c>
      <c r="N23" s="384">
        <v>0</v>
      </c>
      <c r="O23" s="390">
        <f t="shared" si="2"/>
        <v>0</v>
      </c>
      <c r="P23" s="328"/>
      <c r="Q23" s="328"/>
      <c r="R23" s="329"/>
      <c r="T23" s="330"/>
    </row>
    <row r="24" spans="1:20">
      <c r="A24" s="656"/>
      <c r="B24" s="336" t="s">
        <v>67</v>
      </c>
      <c r="C24" s="336" t="s">
        <v>57</v>
      </c>
      <c r="D24" s="336" t="s">
        <v>61</v>
      </c>
      <c r="E24" s="337">
        <v>3</v>
      </c>
      <c r="F24" s="327">
        <v>1</v>
      </c>
      <c r="G24" s="333">
        <v>0</v>
      </c>
      <c r="H24" s="327">
        <v>10</v>
      </c>
      <c r="I24" s="327">
        <v>2</v>
      </c>
      <c r="J24" s="327">
        <v>8</v>
      </c>
      <c r="K24" s="333">
        <v>1</v>
      </c>
      <c r="L24" s="327"/>
      <c r="M24" s="395">
        <f t="shared" si="0"/>
        <v>25</v>
      </c>
      <c r="N24" s="384">
        <v>0</v>
      </c>
      <c r="O24" s="390">
        <f t="shared" si="2"/>
        <v>0</v>
      </c>
      <c r="P24" s="328"/>
      <c r="Q24" s="328"/>
      <c r="R24" s="329"/>
      <c r="T24" s="330"/>
    </row>
    <row r="25" spans="1:20">
      <c r="A25" s="656"/>
      <c r="B25" s="336" t="s">
        <v>68</v>
      </c>
      <c r="C25" s="336" t="s">
        <v>57</v>
      </c>
      <c r="D25" s="336" t="s">
        <v>544</v>
      </c>
      <c r="E25" s="337">
        <v>4</v>
      </c>
      <c r="F25" s="327">
        <v>1</v>
      </c>
      <c r="G25" s="333">
        <v>0</v>
      </c>
      <c r="H25" s="327">
        <v>5</v>
      </c>
      <c r="I25" s="327">
        <v>3</v>
      </c>
      <c r="J25" s="327">
        <v>4</v>
      </c>
      <c r="K25" s="327"/>
      <c r="L25" s="327">
        <v>5</v>
      </c>
      <c r="M25" s="395">
        <f t="shared" si="0"/>
        <v>22</v>
      </c>
      <c r="N25" s="384">
        <v>0</v>
      </c>
      <c r="O25" s="390">
        <f t="shared" si="2"/>
        <v>0</v>
      </c>
      <c r="P25" s="328"/>
      <c r="Q25" s="328"/>
      <c r="R25" s="329"/>
      <c r="T25" s="330"/>
    </row>
    <row r="26" spans="1:20">
      <c r="A26" s="656"/>
      <c r="B26" s="336" t="s">
        <v>69</v>
      </c>
      <c r="C26" s="336" t="s">
        <v>57</v>
      </c>
      <c r="D26" s="336" t="s">
        <v>544</v>
      </c>
      <c r="E26" s="337">
        <v>3</v>
      </c>
      <c r="F26" s="327">
        <v>2</v>
      </c>
      <c r="G26" s="327">
        <v>3</v>
      </c>
      <c r="H26" s="327">
        <v>2</v>
      </c>
      <c r="I26" s="327">
        <v>2</v>
      </c>
      <c r="J26" s="327">
        <v>8</v>
      </c>
      <c r="K26" s="327">
        <v>3</v>
      </c>
      <c r="L26" s="327">
        <v>48</v>
      </c>
      <c r="M26" s="395">
        <f t="shared" si="0"/>
        <v>71</v>
      </c>
      <c r="N26" s="384">
        <v>0</v>
      </c>
      <c r="O26" s="390">
        <f t="shared" si="2"/>
        <v>0</v>
      </c>
      <c r="P26" s="328"/>
      <c r="Q26" s="328"/>
      <c r="R26" s="329"/>
      <c r="T26" s="330"/>
    </row>
    <row r="27" spans="1:20">
      <c r="A27" s="656"/>
      <c r="B27" s="336" t="s">
        <v>322</v>
      </c>
      <c r="C27" s="336" t="s">
        <v>57</v>
      </c>
      <c r="D27" s="336" t="s">
        <v>60</v>
      </c>
      <c r="E27" s="337">
        <v>0</v>
      </c>
      <c r="F27" s="327">
        <v>0</v>
      </c>
      <c r="G27" s="327">
        <v>1</v>
      </c>
      <c r="H27" s="327">
        <v>1</v>
      </c>
      <c r="I27" s="327">
        <v>1</v>
      </c>
      <c r="J27" s="327">
        <v>1</v>
      </c>
      <c r="K27" s="327">
        <v>1</v>
      </c>
      <c r="L27" s="327">
        <v>4</v>
      </c>
      <c r="M27" s="395">
        <f t="shared" si="0"/>
        <v>9</v>
      </c>
      <c r="N27" s="384">
        <v>0</v>
      </c>
      <c r="O27" s="390">
        <f t="shared" si="2"/>
        <v>0</v>
      </c>
      <c r="P27" s="328"/>
      <c r="Q27" s="328"/>
      <c r="R27" s="329"/>
      <c r="T27" s="330"/>
    </row>
    <row r="28" spans="1:20">
      <c r="A28" s="656"/>
      <c r="B28" s="326" t="s">
        <v>81</v>
      </c>
      <c r="C28" s="326" t="s">
        <v>57</v>
      </c>
      <c r="D28" s="326" t="s">
        <v>61</v>
      </c>
      <c r="E28" s="327">
        <v>4</v>
      </c>
      <c r="F28" s="327">
        <v>2</v>
      </c>
      <c r="G28" s="327">
        <f>5/3</f>
        <v>1.6666666666666667</v>
      </c>
      <c r="H28" s="327">
        <v>4</v>
      </c>
      <c r="I28" s="327">
        <v>3</v>
      </c>
      <c r="J28" s="327">
        <v>6</v>
      </c>
      <c r="K28" s="327">
        <v>1</v>
      </c>
      <c r="L28" s="327">
        <v>40</v>
      </c>
      <c r="M28" s="395">
        <f t="shared" si="0"/>
        <v>61.666666666666671</v>
      </c>
      <c r="N28" s="384">
        <v>0</v>
      </c>
      <c r="O28" s="390">
        <f t="shared" si="2"/>
        <v>0</v>
      </c>
      <c r="P28" s="328"/>
      <c r="Q28" s="328"/>
      <c r="R28" s="329"/>
      <c r="T28" s="330"/>
    </row>
    <row r="29" spans="1:20">
      <c r="A29" s="656"/>
      <c r="B29" s="326" t="s">
        <v>98</v>
      </c>
      <c r="C29" s="326" t="s">
        <v>57</v>
      </c>
      <c r="D29" s="326" t="s">
        <v>324</v>
      </c>
      <c r="E29" s="327">
        <v>4</v>
      </c>
      <c r="F29" s="327">
        <v>2</v>
      </c>
      <c r="G29" s="333">
        <f>5/2</f>
        <v>2.5</v>
      </c>
      <c r="H29" s="327">
        <v>4</v>
      </c>
      <c r="I29" s="327">
        <v>4</v>
      </c>
      <c r="J29" s="327">
        <v>4</v>
      </c>
      <c r="K29" s="327">
        <v>4</v>
      </c>
      <c r="L29" s="327">
        <v>24</v>
      </c>
      <c r="M29" s="395">
        <f t="shared" si="0"/>
        <v>48.5</v>
      </c>
      <c r="N29" s="384">
        <v>0</v>
      </c>
      <c r="O29" s="390">
        <f t="shared" si="2"/>
        <v>0</v>
      </c>
      <c r="P29" s="328"/>
      <c r="Q29" s="328"/>
      <c r="R29" s="329"/>
      <c r="T29" s="330"/>
    </row>
    <row r="30" spans="1:20">
      <c r="A30" s="656"/>
      <c r="B30" s="326" t="s">
        <v>70</v>
      </c>
      <c r="C30" s="326" t="s">
        <v>57</v>
      </c>
      <c r="D30" s="326" t="s">
        <v>71</v>
      </c>
      <c r="E30" s="327">
        <v>7</v>
      </c>
      <c r="F30" s="327">
        <v>8</v>
      </c>
      <c r="G30" s="333">
        <v>16</v>
      </c>
      <c r="H30" s="327">
        <v>16</v>
      </c>
      <c r="I30" s="327">
        <v>2</v>
      </c>
      <c r="J30" s="327">
        <v>30</v>
      </c>
      <c r="K30" s="333">
        <v>13</v>
      </c>
      <c r="L30" s="327">
        <v>144</v>
      </c>
      <c r="M30" s="395">
        <f t="shared" si="0"/>
        <v>236</v>
      </c>
      <c r="N30" s="384">
        <v>0</v>
      </c>
      <c r="O30" s="390">
        <f t="shared" si="2"/>
        <v>0</v>
      </c>
      <c r="P30" s="328"/>
      <c r="Q30" s="328"/>
      <c r="R30" s="329"/>
      <c r="T30" s="330"/>
    </row>
    <row r="31" spans="1:20">
      <c r="A31" s="656"/>
      <c r="B31" s="326" t="s">
        <v>72</v>
      </c>
      <c r="C31" s="326" t="s">
        <v>57</v>
      </c>
      <c r="D31" s="326" t="s">
        <v>73</v>
      </c>
      <c r="E31" s="327">
        <v>12</v>
      </c>
      <c r="F31" s="327">
        <v>6</v>
      </c>
      <c r="G31" s="327">
        <v>6</v>
      </c>
      <c r="H31" s="327">
        <v>12</v>
      </c>
      <c r="I31" s="327">
        <v>4</v>
      </c>
      <c r="J31" s="327">
        <v>30</v>
      </c>
      <c r="K31" s="327">
        <v>6</v>
      </c>
      <c r="L31" s="327">
        <v>143</v>
      </c>
      <c r="M31" s="395">
        <f t="shared" si="0"/>
        <v>219</v>
      </c>
      <c r="N31" s="384">
        <v>0</v>
      </c>
      <c r="O31" s="390">
        <f t="shared" si="2"/>
        <v>0</v>
      </c>
      <c r="P31" s="328"/>
      <c r="Q31" s="328"/>
      <c r="R31" s="329"/>
      <c r="T31" s="330"/>
    </row>
    <row r="32" spans="1:20">
      <c r="A32" s="656"/>
      <c r="B32" s="326" t="s">
        <v>328</v>
      </c>
      <c r="C32" s="326" t="s">
        <v>57</v>
      </c>
      <c r="D32" s="326" t="s">
        <v>61</v>
      </c>
      <c r="E32" s="327">
        <v>10</v>
      </c>
      <c r="F32" s="327">
        <v>3</v>
      </c>
      <c r="G32" s="327">
        <v>10</v>
      </c>
      <c r="H32" s="327">
        <v>8</v>
      </c>
      <c r="I32" s="327">
        <v>16</v>
      </c>
      <c r="J32" s="327">
        <v>30</v>
      </c>
      <c r="K32" s="327">
        <v>9</v>
      </c>
      <c r="L32" s="327">
        <v>104</v>
      </c>
      <c r="M32" s="395">
        <f t="shared" si="0"/>
        <v>190</v>
      </c>
      <c r="N32" s="384">
        <v>0</v>
      </c>
      <c r="O32" s="390">
        <f t="shared" si="2"/>
        <v>0</v>
      </c>
      <c r="P32" s="328"/>
      <c r="Q32" s="328"/>
      <c r="R32" s="329"/>
      <c r="T32" s="330"/>
    </row>
    <row r="33" spans="1:20">
      <c r="A33" s="656"/>
      <c r="B33" s="326" t="s">
        <v>74</v>
      </c>
      <c r="C33" s="326" t="s">
        <v>57</v>
      </c>
      <c r="D33" s="326" t="s">
        <v>75</v>
      </c>
      <c r="E33" s="327">
        <v>5</v>
      </c>
      <c r="F33" s="327">
        <v>0.5</v>
      </c>
      <c r="G33" s="327">
        <v>0</v>
      </c>
      <c r="H33" s="327">
        <v>1</v>
      </c>
      <c r="I33" s="327">
        <v>1</v>
      </c>
      <c r="J33" s="327">
        <v>3</v>
      </c>
      <c r="K33" s="327"/>
      <c r="L33" s="327">
        <v>20</v>
      </c>
      <c r="M33" s="395">
        <f t="shared" si="0"/>
        <v>30.5</v>
      </c>
      <c r="N33" s="384">
        <v>0</v>
      </c>
      <c r="O33" s="390">
        <f t="shared" si="2"/>
        <v>0</v>
      </c>
      <c r="P33" s="328"/>
      <c r="Q33" s="328"/>
      <c r="R33" s="329"/>
      <c r="T33" s="330"/>
    </row>
    <row r="34" spans="1:20">
      <c r="A34" s="656"/>
      <c r="B34" s="326" t="s">
        <v>76</v>
      </c>
      <c r="C34" s="326" t="s">
        <v>57</v>
      </c>
      <c r="D34" s="326" t="s">
        <v>42</v>
      </c>
      <c r="E34" s="327">
        <v>2</v>
      </c>
      <c r="F34" s="327">
        <v>1</v>
      </c>
      <c r="G34" s="327">
        <v>5</v>
      </c>
      <c r="H34" s="327">
        <v>6</v>
      </c>
      <c r="I34" s="327">
        <v>2</v>
      </c>
      <c r="J34" s="327">
        <v>4</v>
      </c>
      <c r="K34" s="327">
        <v>2</v>
      </c>
      <c r="L34" s="327">
        <v>20</v>
      </c>
      <c r="M34" s="395">
        <f t="shared" si="0"/>
        <v>42</v>
      </c>
      <c r="N34" s="384">
        <v>0</v>
      </c>
      <c r="O34" s="390">
        <f t="shared" si="2"/>
        <v>0</v>
      </c>
      <c r="P34" s="328"/>
      <c r="Q34" s="328"/>
      <c r="R34" s="329"/>
      <c r="T34" s="330"/>
    </row>
    <row r="35" spans="1:20">
      <c r="A35" s="656"/>
      <c r="B35" s="326" t="s">
        <v>329</v>
      </c>
      <c r="C35" s="326" t="s">
        <v>57</v>
      </c>
      <c r="D35" s="326" t="s">
        <v>77</v>
      </c>
      <c r="E35" s="327">
        <f>1/5</f>
        <v>0.2</v>
      </c>
      <c r="F35" s="327">
        <v>0.5</v>
      </c>
      <c r="G35" s="327">
        <f>3/2</f>
        <v>1.5</v>
      </c>
      <c r="H35" s="327">
        <v>1</v>
      </c>
      <c r="I35" s="327">
        <v>1</v>
      </c>
      <c r="J35" s="327">
        <v>3</v>
      </c>
      <c r="K35" s="333">
        <v>6</v>
      </c>
      <c r="L35" s="333">
        <v>12</v>
      </c>
      <c r="M35" s="395">
        <f t="shared" si="0"/>
        <v>25.2</v>
      </c>
      <c r="N35" s="384">
        <v>0</v>
      </c>
      <c r="O35" s="390">
        <f t="shared" si="2"/>
        <v>0</v>
      </c>
      <c r="P35" s="328"/>
      <c r="Q35" s="328"/>
      <c r="R35" s="329"/>
      <c r="T35" s="330"/>
    </row>
    <row r="36" spans="1:20">
      <c r="A36" s="656"/>
      <c r="B36" s="326" t="s">
        <v>331</v>
      </c>
      <c r="C36" s="326" t="s">
        <v>57</v>
      </c>
      <c r="D36" s="326" t="s">
        <v>78</v>
      </c>
      <c r="E36" s="327">
        <v>7</v>
      </c>
      <c r="F36" s="327"/>
      <c r="G36" s="333">
        <v>2</v>
      </c>
      <c r="H36" s="333">
        <v>1</v>
      </c>
      <c r="I36" s="327"/>
      <c r="J36" s="327">
        <v>2</v>
      </c>
      <c r="K36" s="333"/>
      <c r="L36" s="327">
        <v>12</v>
      </c>
      <c r="M36" s="395">
        <f t="shared" si="0"/>
        <v>24</v>
      </c>
      <c r="N36" s="384">
        <v>0</v>
      </c>
      <c r="O36" s="390">
        <f t="shared" si="2"/>
        <v>0</v>
      </c>
      <c r="P36" s="328"/>
      <c r="Q36" s="328"/>
      <c r="R36" s="329"/>
      <c r="T36" s="330"/>
    </row>
    <row r="37" spans="1:20">
      <c r="A37" s="656"/>
      <c r="B37" s="326" t="s">
        <v>332</v>
      </c>
      <c r="C37" s="326" t="s">
        <v>57</v>
      </c>
      <c r="D37" s="326" t="s">
        <v>78</v>
      </c>
      <c r="E37" s="327"/>
      <c r="F37" s="327"/>
      <c r="G37" s="333">
        <v>0</v>
      </c>
      <c r="H37" s="327">
        <v>5</v>
      </c>
      <c r="I37" s="327"/>
      <c r="J37" s="327"/>
      <c r="K37" s="327"/>
      <c r="L37" s="327"/>
      <c r="M37" s="395">
        <f t="shared" si="0"/>
        <v>5</v>
      </c>
      <c r="N37" s="384">
        <v>0</v>
      </c>
      <c r="O37" s="390">
        <f t="shared" si="2"/>
        <v>0</v>
      </c>
      <c r="P37" s="328"/>
      <c r="Q37" s="328"/>
      <c r="R37" s="329"/>
      <c r="T37" s="330"/>
    </row>
    <row r="38" spans="1:20">
      <c r="A38" s="656"/>
      <c r="B38" s="326" t="s">
        <v>330</v>
      </c>
      <c r="C38" s="326" t="s">
        <v>57</v>
      </c>
      <c r="D38" s="326" t="s">
        <v>78</v>
      </c>
      <c r="E38" s="327">
        <v>2</v>
      </c>
      <c r="F38" s="327">
        <v>0.2</v>
      </c>
      <c r="G38" s="333">
        <v>2</v>
      </c>
      <c r="H38" s="333">
        <v>1</v>
      </c>
      <c r="I38" s="327">
        <v>1</v>
      </c>
      <c r="J38" s="327"/>
      <c r="K38" s="327">
        <v>4</v>
      </c>
      <c r="L38" s="327">
        <v>28</v>
      </c>
      <c r="M38" s="395">
        <f t="shared" si="0"/>
        <v>38.200000000000003</v>
      </c>
      <c r="N38" s="384">
        <v>0</v>
      </c>
      <c r="O38" s="390">
        <f t="shared" si="2"/>
        <v>0</v>
      </c>
      <c r="P38" s="328"/>
      <c r="Q38" s="328"/>
      <c r="R38" s="329"/>
      <c r="T38" s="330"/>
    </row>
    <row r="39" spans="1:20">
      <c r="A39" s="656"/>
      <c r="B39" s="326" t="s">
        <v>326</v>
      </c>
      <c r="C39" s="326" t="s">
        <v>57</v>
      </c>
      <c r="D39" s="326" t="s">
        <v>327</v>
      </c>
      <c r="E39" s="327"/>
      <c r="F39" s="327">
        <v>0</v>
      </c>
      <c r="G39" s="333">
        <v>0</v>
      </c>
      <c r="H39" s="327">
        <v>1</v>
      </c>
      <c r="I39" s="327">
        <v>0.5</v>
      </c>
      <c r="J39" s="327"/>
      <c r="K39" s="333"/>
      <c r="L39" s="327">
        <v>5</v>
      </c>
      <c r="M39" s="395">
        <f t="shared" si="0"/>
        <v>6.5</v>
      </c>
      <c r="N39" s="384">
        <v>0</v>
      </c>
      <c r="O39" s="390">
        <f t="shared" si="2"/>
        <v>0</v>
      </c>
      <c r="P39" s="328"/>
      <c r="Q39" s="328"/>
      <c r="R39" s="329"/>
      <c r="T39" s="330"/>
    </row>
    <row r="40" spans="1:20">
      <c r="B40" s="338" t="s">
        <v>333</v>
      </c>
      <c r="C40" s="338" t="s">
        <v>57</v>
      </c>
      <c r="D40" s="338" t="s">
        <v>61</v>
      </c>
      <c r="E40" s="339"/>
      <c r="F40" s="339">
        <v>0</v>
      </c>
      <c r="G40" s="339">
        <v>0</v>
      </c>
      <c r="H40" s="339">
        <v>0</v>
      </c>
      <c r="I40" s="339">
        <v>0</v>
      </c>
      <c r="J40" s="339">
        <v>6</v>
      </c>
      <c r="K40" s="339"/>
      <c r="L40" s="339">
        <v>32</v>
      </c>
      <c r="M40" s="395">
        <f t="shared" si="0"/>
        <v>38</v>
      </c>
      <c r="N40" s="384">
        <v>0</v>
      </c>
      <c r="O40" s="390">
        <f t="shared" si="2"/>
        <v>0</v>
      </c>
      <c r="R40" s="329"/>
      <c r="T40" s="330"/>
    </row>
    <row r="41" spans="1:20">
      <c r="B41" s="340" t="s">
        <v>79</v>
      </c>
      <c r="C41" s="340" t="s">
        <v>57</v>
      </c>
      <c r="D41" s="340" t="s">
        <v>61</v>
      </c>
      <c r="E41" s="341"/>
      <c r="F41" s="341">
        <f>1/8</f>
        <v>0.125</v>
      </c>
      <c r="G41" s="341">
        <f>1/12</f>
        <v>8.3333333333333329E-2</v>
      </c>
      <c r="H41" s="341">
        <v>0.1</v>
      </c>
      <c r="I41" s="341">
        <v>0</v>
      </c>
      <c r="J41" s="341">
        <v>1</v>
      </c>
      <c r="K41" s="341"/>
      <c r="L41" s="341"/>
      <c r="M41" s="395">
        <f t="shared" si="0"/>
        <v>1.3083333333333333</v>
      </c>
      <c r="N41" s="385">
        <v>0</v>
      </c>
      <c r="O41" s="391">
        <f t="shared" si="2"/>
        <v>0</v>
      </c>
      <c r="R41" s="329"/>
      <c r="T41" s="330"/>
    </row>
    <row r="42" spans="1:20" ht="15.75" thickBot="1">
      <c r="B42" s="342"/>
      <c r="C42" s="343"/>
      <c r="D42" s="344"/>
      <c r="E42" s="344"/>
      <c r="F42" s="344"/>
      <c r="G42" s="344"/>
      <c r="H42" s="344"/>
      <c r="I42" s="344"/>
      <c r="J42" s="344"/>
      <c r="K42" s="344"/>
      <c r="L42" s="344"/>
      <c r="M42" s="396"/>
      <c r="N42" s="345" t="s">
        <v>406</v>
      </c>
      <c r="O42" s="381">
        <f>SUM(O4:O41)</f>
        <v>0</v>
      </c>
    </row>
  </sheetData>
  <sheetProtection algorithmName="SHA-512" hashValue="vKaW9RF7mtk325kEZgfOCeBqqozUt0VObwvy+HnATqHk5dcJ5Qui6BfaXiwJFxRDD/UyJu5rFItahiok621AkQ==" saltValue="6zWDy6f2misLgGHZGhs1tQ==" spinCount="100000" sheet="1" objects="1" scenarios="1"/>
  <mergeCells count="3">
    <mergeCell ref="A4:A13"/>
    <mergeCell ref="A14:A39"/>
    <mergeCell ref="B2:O2"/>
  </mergeCell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Q23"/>
  <sheetViews>
    <sheetView topLeftCell="B3" workbookViewId="0">
      <selection activeCell="M3" sqref="M3:M22"/>
    </sheetView>
  </sheetViews>
  <sheetFormatPr defaultColWidth="0" defaultRowHeight="15" zeroHeight="1"/>
  <cols>
    <col min="1" max="1" width="9.140625" style="9" customWidth="1"/>
    <col min="2" max="2" width="47" style="372" customWidth="1"/>
    <col min="3" max="3" width="8.5703125" style="9" bestFit="1" customWidth="1"/>
    <col min="4" max="4" width="10.5703125" style="9" bestFit="1" customWidth="1"/>
    <col min="5" max="5" width="6.85546875" style="9" bestFit="1" customWidth="1"/>
    <col min="6" max="6" width="9.28515625" style="9" bestFit="1" customWidth="1"/>
    <col min="7" max="7" width="12" style="9" bestFit="1" customWidth="1"/>
    <col min="8" max="8" width="8.7109375" style="9" bestFit="1" customWidth="1"/>
    <col min="9" max="9" width="10.5703125" style="9" bestFit="1" customWidth="1"/>
    <col min="10" max="10" width="14.42578125" style="9" bestFit="1" customWidth="1"/>
    <col min="11" max="11" width="8" style="9" bestFit="1" customWidth="1"/>
    <col min="12" max="12" width="11.85546875" style="373" bestFit="1" customWidth="1"/>
    <col min="13" max="13" width="14.85546875" style="9" customWidth="1"/>
    <col min="14" max="14" width="9.140625" style="374" bestFit="1" customWidth="1"/>
    <col min="15" max="15" width="13.140625" style="34" customWidth="1"/>
    <col min="16" max="16" width="9.140625" style="9" hidden="1" customWidth="1"/>
    <col min="17" max="17" width="10.7109375" style="9" hidden="1" customWidth="1"/>
    <col min="18" max="16384" width="9.140625" style="9" hidden="1"/>
  </cols>
  <sheetData>
    <row r="1" spans="1:17">
      <c r="A1" s="659" t="s">
        <v>398</v>
      </c>
      <c r="B1" s="659"/>
      <c r="C1" s="659"/>
      <c r="D1" s="659"/>
      <c r="E1" s="659"/>
      <c r="F1" s="659"/>
      <c r="G1" s="659"/>
      <c r="H1" s="659"/>
      <c r="I1" s="659"/>
      <c r="J1" s="659"/>
      <c r="K1" s="659"/>
      <c r="L1" s="659"/>
      <c r="M1" s="659"/>
      <c r="N1" s="659"/>
      <c r="O1" s="659"/>
    </row>
    <row r="2" spans="1:17" s="353" customFormat="1" ht="39" customHeight="1">
      <c r="A2" s="349" t="s">
        <v>99</v>
      </c>
      <c r="B2" s="349" t="s">
        <v>83</v>
      </c>
      <c r="C2" s="349" t="s">
        <v>32</v>
      </c>
      <c r="D2" s="350" t="s">
        <v>7</v>
      </c>
      <c r="E2" s="350" t="s">
        <v>80</v>
      </c>
      <c r="F2" s="350" t="s">
        <v>2</v>
      </c>
      <c r="G2" s="350" t="s">
        <v>4</v>
      </c>
      <c r="H2" s="350" t="s">
        <v>5</v>
      </c>
      <c r="I2" s="350" t="s">
        <v>8</v>
      </c>
      <c r="J2" s="350" t="s">
        <v>6</v>
      </c>
      <c r="K2" s="350" t="s">
        <v>33</v>
      </c>
      <c r="L2" s="350" t="s">
        <v>563</v>
      </c>
      <c r="M2" s="350" t="s">
        <v>314</v>
      </c>
      <c r="N2" s="351" t="s">
        <v>317</v>
      </c>
      <c r="O2" s="352" t="s">
        <v>315</v>
      </c>
    </row>
    <row r="3" spans="1:17">
      <c r="A3" s="354">
        <v>1</v>
      </c>
      <c r="B3" s="355" t="s">
        <v>316</v>
      </c>
      <c r="C3" s="356" t="s">
        <v>94</v>
      </c>
      <c r="D3" s="357">
        <v>1</v>
      </c>
      <c r="E3" s="357">
        <v>1</v>
      </c>
      <c r="F3" s="357">
        <v>1</v>
      </c>
      <c r="G3" s="357">
        <v>1</v>
      </c>
      <c r="H3" s="357">
        <v>1</v>
      </c>
      <c r="I3" s="357">
        <v>1</v>
      </c>
      <c r="J3" s="357">
        <v>1</v>
      </c>
      <c r="K3" s="357">
        <v>6</v>
      </c>
      <c r="L3" s="358">
        <f>SUM(D3:K3)</f>
        <v>13</v>
      </c>
      <c r="M3" s="387">
        <v>0</v>
      </c>
      <c r="N3" s="359">
        <v>12</v>
      </c>
      <c r="O3" s="360">
        <f>((M3*L3))/N3</f>
        <v>0</v>
      </c>
    </row>
    <row r="4" spans="1:17">
      <c r="A4" s="354">
        <v>2</v>
      </c>
      <c r="B4" s="355" t="s">
        <v>84</v>
      </c>
      <c r="C4" s="356" t="s">
        <v>94</v>
      </c>
      <c r="D4" s="357">
        <v>1</v>
      </c>
      <c r="E4" s="357">
        <v>1</v>
      </c>
      <c r="F4" s="357">
        <v>1</v>
      </c>
      <c r="G4" s="357">
        <v>1</v>
      </c>
      <c r="H4" s="357">
        <v>1</v>
      </c>
      <c r="I4" s="357">
        <v>1</v>
      </c>
      <c r="J4" s="357">
        <v>1</v>
      </c>
      <c r="K4" s="357">
        <v>1</v>
      </c>
      <c r="L4" s="358">
        <f t="shared" ref="L4:L21" si="0">SUM(D4:K4)</f>
        <v>8</v>
      </c>
      <c r="M4" s="387">
        <v>0</v>
      </c>
      <c r="N4" s="359">
        <v>12</v>
      </c>
      <c r="O4" s="360">
        <f t="shared" ref="O4:O22" si="1">((M4*L4))/N4</f>
        <v>0</v>
      </c>
    </row>
    <row r="5" spans="1:17">
      <c r="A5" s="354">
        <v>3</v>
      </c>
      <c r="B5" s="355" t="s">
        <v>85</v>
      </c>
      <c r="C5" s="356" t="s">
        <v>94</v>
      </c>
      <c r="D5" s="357">
        <v>1</v>
      </c>
      <c r="E5" s="357">
        <v>1</v>
      </c>
      <c r="F5" s="357">
        <v>1</v>
      </c>
      <c r="G5" s="357">
        <v>1</v>
      </c>
      <c r="H5" s="357">
        <v>1</v>
      </c>
      <c r="I5" s="357">
        <v>1</v>
      </c>
      <c r="J5" s="357">
        <v>1</v>
      </c>
      <c r="K5" s="357">
        <v>1</v>
      </c>
      <c r="L5" s="358">
        <f t="shared" si="0"/>
        <v>8</v>
      </c>
      <c r="M5" s="387">
        <v>0</v>
      </c>
      <c r="N5" s="359">
        <v>12</v>
      </c>
      <c r="O5" s="360">
        <f t="shared" si="1"/>
        <v>0</v>
      </c>
    </row>
    <row r="6" spans="1:17">
      <c r="A6" s="354">
        <v>4</v>
      </c>
      <c r="B6" s="355" t="s">
        <v>97</v>
      </c>
      <c r="C6" s="356" t="s">
        <v>94</v>
      </c>
      <c r="D6" s="357">
        <v>1</v>
      </c>
      <c r="E6" s="357">
        <v>1</v>
      </c>
      <c r="F6" s="357">
        <v>1</v>
      </c>
      <c r="G6" s="357">
        <v>1</v>
      </c>
      <c r="H6" s="357">
        <v>1</v>
      </c>
      <c r="I6" s="357">
        <v>1</v>
      </c>
      <c r="J6" s="357">
        <v>1</v>
      </c>
      <c r="K6" s="357">
        <v>1</v>
      </c>
      <c r="L6" s="358">
        <f t="shared" si="0"/>
        <v>8</v>
      </c>
      <c r="M6" s="387">
        <v>0</v>
      </c>
      <c r="N6" s="359">
        <v>12</v>
      </c>
      <c r="O6" s="360">
        <f t="shared" si="1"/>
        <v>0</v>
      </c>
      <c r="Q6" s="361"/>
    </row>
    <row r="7" spans="1:17">
      <c r="A7" s="354">
        <v>5</v>
      </c>
      <c r="B7" s="355" t="s">
        <v>86</v>
      </c>
      <c r="C7" s="356" t="s">
        <v>94</v>
      </c>
      <c r="D7" s="357">
        <v>1</v>
      </c>
      <c r="E7" s="357">
        <v>1</v>
      </c>
      <c r="F7" s="357">
        <v>1</v>
      </c>
      <c r="G7" s="357">
        <v>1</v>
      </c>
      <c r="H7" s="357">
        <v>1</v>
      </c>
      <c r="I7" s="357">
        <v>1</v>
      </c>
      <c r="J7" s="357">
        <v>1</v>
      </c>
      <c r="K7" s="357">
        <v>6</v>
      </c>
      <c r="L7" s="358">
        <f t="shared" si="0"/>
        <v>13</v>
      </c>
      <c r="M7" s="387">
        <v>0</v>
      </c>
      <c r="N7" s="359">
        <v>12</v>
      </c>
      <c r="O7" s="360">
        <f t="shared" si="1"/>
        <v>0</v>
      </c>
      <c r="Q7" s="361"/>
    </row>
    <row r="8" spans="1:17">
      <c r="A8" s="354">
        <v>6</v>
      </c>
      <c r="B8" s="355" t="s">
        <v>87</v>
      </c>
      <c r="C8" s="356" t="s">
        <v>94</v>
      </c>
      <c r="D8" s="357">
        <v>1</v>
      </c>
      <c r="E8" s="357">
        <v>1</v>
      </c>
      <c r="F8" s="357">
        <v>1</v>
      </c>
      <c r="G8" s="357">
        <v>1</v>
      </c>
      <c r="H8" s="357">
        <v>1</v>
      </c>
      <c r="I8" s="357">
        <v>1</v>
      </c>
      <c r="J8" s="357">
        <v>1</v>
      </c>
      <c r="K8" s="357">
        <v>6</v>
      </c>
      <c r="L8" s="358">
        <f t="shared" si="0"/>
        <v>13</v>
      </c>
      <c r="M8" s="387">
        <v>0</v>
      </c>
      <c r="N8" s="359">
        <v>12</v>
      </c>
      <c r="O8" s="360">
        <f t="shared" si="1"/>
        <v>0</v>
      </c>
      <c r="Q8" s="361"/>
    </row>
    <row r="9" spans="1:17">
      <c r="A9" s="354">
        <v>7</v>
      </c>
      <c r="B9" s="355" t="s">
        <v>101</v>
      </c>
      <c r="C9" s="356" t="s">
        <v>94</v>
      </c>
      <c r="D9" s="357">
        <v>1</v>
      </c>
      <c r="E9" s="357">
        <v>1</v>
      </c>
      <c r="F9" s="357">
        <v>1</v>
      </c>
      <c r="G9" s="357">
        <v>1</v>
      </c>
      <c r="H9" s="357">
        <v>1</v>
      </c>
      <c r="I9" s="357">
        <v>1</v>
      </c>
      <c r="J9" s="357">
        <v>1</v>
      </c>
      <c r="K9" s="357">
        <v>6</v>
      </c>
      <c r="L9" s="358">
        <f t="shared" si="0"/>
        <v>13</v>
      </c>
      <c r="M9" s="387">
        <v>0</v>
      </c>
      <c r="N9" s="359">
        <v>12</v>
      </c>
      <c r="O9" s="360">
        <f t="shared" si="1"/>
        <v>0</v>
      </c>
    </row>
    <row r="10" spans="1:17" ht="30">
      <c r="A10" s="354">
        <v>8</v>
      </c>
      <c r="B10" s="355" t="s">
        <v>93</v>
      </c>
      <c r="C10" s="356" t="s">
        <v>94</v>
      </c>
      <c r="D10" s="357">
        <v>1</v>
      </c>
      <c r="E10" s="357">
        <v>1</v>
      </c>
      <c r="F10" s="357">
        <v>1</v>
      </c>
      <c r="G10" s="357">
        <v>1</v>
      </c>
      <c r="H10" s="357">
        <v>1</v>
      </c>
      <c r="I10" s="357">
        <v>1</v>
      </c>
      <c r="J10" s="357">
        <v>1</v>
      </c>
      <c r="K10" s="357">
        <v>6</v>
      </c>
      <c r="L10" s="358">
        <f t="shared" si="0"/>
        <v>13</v>
      </c>
      <c r="M10" s="387">
        <v>0</v>
      </c>
      <c r="N10" s="359">
        <v>12</v>
      </c>
      <c r="O10" s="360">
        <f t="shared" si="1"/>
        <v>0</v>
      </c>
    </row>
    <row r="11" spans="1:17" ht="30">
      <c r="A11" s="354">
        <v>9</v>
      </c>
      <c r="B11" s="355" t="s">
        <v>318</v>
      </c>
      <c r="C11" s="356" t="s">
        <v>94</v>
      </c>
      <c r="D11" s="357">
        <v>1</v>
      </c>
      <c r="E11" s="357">
        <v>1</v>
      </c>
      <c r="F11" s="357">
        <v>1</v>
      </c>
      <c r="G11" s="357">
        <v>1</v>
      </c>
      <c r="H11" s="357">
        <v>1</v>
      </c>
      <c r="I11" s="357">
        <v>1</v>
      </c>
      <c r="J11" s="357">
        <v>1</v>
      </c>
      <c r="K11" s="357">
        <v>6</v>
      </c>
      <c r="L11" s="358">
        <f t="shared" si="0"/>
        <v>13</v>
      </c>
      <c r="M11" s="387">
        <v>0</v>
      </c>
      <c r="N11" s="359">
        <v>12</v>
      </c>
      <c r="O11" s="360">
        <f t="shared" si="1"/>
        <v>0</v>
      </c>
    </row>
    <row r="12" spans="1:17" ht="30">
      <c r="A12" s="354">
        <v>10</v>
      </c>
      <c r="B12" s="355" t="s">
        <v>95</v>
      </c>
      <c r="C12" s="356" t="s">
        <v>94</v>
      </c>
      <c r="D12" s="357">
        <v>1</v>
      </c>
      <c r="E12" s="357">
        <v>1</v>
      </c>
      <c r="F12" s="357">
        <v>1</v>
      </c>
      <c r="G12" s="357">
        <v>1</v>
      </c>
      <c r="H12" s="357">
        <v>1</v>
      </c>
      <c r="I12" s="357">
        <v>1</v>
      </c>
      <c r="J12" s="357">
        <v>1</v>
      </c>
      <c r="K12" s="357">
        <v>6</v>
      </c>
      <c r="L12" s="358">
        <f t="shared" si="0"/>
        <v>13</v>
      </c>
      <c r="M12" s="387">
        <v>0</v>
      </c>
      <c r="N12" s="359">
        <v>12</v>
      </c>
      <c r="O12" s="360">
        <f t="shared" si="1"/>
        <v>0</v>
      </c>
    </row>
    <row r="13" spans="1:17" s="369" customFormat="1">
      <c r="A13" s="362">
        <v>11</v>
      </c>
      <c r="B13" s="363" t="s">
        <v>108</v>
      </c>
      <c r="C13" s="364" t="s">
        <v>94</v>
      </c>
      <c r="D13" s="365">
        <v>1</v>
      </c>
      <c r="E13" s="365">
        <v>1</v>
      </c>
      <c r="F13" s="365">
        <v>1</v>
      </c>
      <c r="G13" s="365">
        <v>1</v>
      </c>
      <c r="H13" s="365">
        <v>1</v>
      </c>
      <c r="I13" s="365">
        <v>1</v>
      </c>
      <c r="J13" s="365">
        <v>1</v>
      </c>
      <c r="K13" s="365">
        <v>6</v>
      </c>
      <c r="L13" s="366">
        <f t="shared" si="0"/>
        <v>13</v>
      </c>
      <c r="M13" s="388">
        <v>0</v>
      </c>
      <c r="N13" s="367">
        <f>12*5</f>
        <v>60</v>
      </c>
      <c r="O13" s="368">
        <f t="shared" si="1"/>
        <v>0</v>
      </c>
    </row>
    <row r="14" spans="1:17" s="369" customFormat="1">
      <c r="A14" s="362">
        <v>12</v>
      </c>
      <c r="B14" s="363" t="s">
        <v>109</v>
      </c>
      <c r="C14" s="364" t="s">
        <v>94</v>
      </c>
      <c r="D14" s="365"/>
      <c r="E14" s="365"/>
      <c r="F14" s="365"/>
      <c r="G14" s="365"/>
      <c r="H14" s="365"/>
      <c r="I14" s="365"/>
      <c r="J14" s="365"/>
      <c r="K14" s="365">
        <v>1</v>
      </c>
      <c r="L14" s="366">
        <f t="shared" si="0"/>
        <v>1</v>
      </c>
      <c r="M14" s="388">
        <v>0</v>
      </c>
      <c r="N14" s="367">
        <v>24</v>
      </c>
      <c r="O14" s="368">
        <f t="shared" si="1"/>
        <v>0</v>
      </c>
    </row>
    <row r="15" spans="1:17">
      <c r="A15" s="354">
        <v>13</v>
      </c>
      <c r="B15" s="355" t="s">
        <v>319</v>
      </c>
      <c r="C15" s="356" t="s">
        <v>94</v>
      </c>
      <c r="D15" s="357">
        <v>1</v>
      </c>
      <c r="E15" s="357">
        <v>1</v>
      </c>
      <c r="F15" s="357">
        <v>1</v>
      </c>
      <c r="G15" s="357">
        <v>1</v>
      </c>
      <c r="H15" s="357">
        <v>1</v>
      </c>
      <c r="I15" s="357">
        <v>1</v>
      </c>
      <c r="J15" s="357">
        <v>1</v>
      </c>
      <c r="K15" s="357">
        <v>6</v>
      </c>
      <c r="L15" s="358">
        <f t="shared" si="0"/>
        <v>13</v>
      </c>
      <c r="M15" s="387">
        <v>0</v>
      </c>
      <c r="N15" s="370">
        <v>24</v>
      </c>
      <c r="O15" s="360">
        <f t="shared" si="1"/>
        <v>0</v>
      </c>
    </row>
    <row r="16" spans="1:17">
      <c r="A16" s="354">
        <v>14</v>
      </c>
      <c r="B16" s="355" t="s">
        <v>320</v>
      </c>
      <c r="C16" s="356" t="s">
        <v>94</v>
      </c>
      <c r="D16" s="357">
        <v>1</v>
      </c>
      <c r="E16" s="357">
        <v>1</v>
      </c>
      <c r="F16" s="357">
        <v>1</v>
      </c>
      <c r="G16" s="357">
        <v>1</v>
      </c>
      <c r="H16" s="357">
        <v>1</v>
      </c>
      <c r="I16" s="357">
        <v>1</v>
      </c>
      <c r="J16" s="357">
        <v>1</v>
      </c>
      <c r="K16" s="357">
        <v>6</v>
      </c>
      <c r="L16" s="358">
        <f t="shared" si="0"/>
        <v>13</v>
      </c>
      <c r="M16" s="387">
        <v>0</v>
      </c>
      <c r="N16" s="370">
        <v>24</v>
      </c>
      <c r="O16" s="360">
        <f t="shared" si="1"/>
        <v>0</v>
      </c>
    </row>
    <row r="17" spans="1:15">
      <c r="A17" s="354">
        <v>15</v>
      </c>
      <c r="B17" s="355" t="s">
        <v>88</v>
      </c>
      <c r="C17" s="356" t="s">
        <v>94</v>
      </c>
      <c r="D17" s="357">
        <v>1</v>
      </c>
      <c r="E17" s="357">
        <v>1</v>
      </c>
      <c r="F17" s="357">
        <v>1</v>
      </c>
      <c r="G17" s="357">
        <v>1</v>
      </c>
      <c r="H17" s="357">
        <v>1</v>
      </c>
      <c r="I17" s="357">
        <v>1</v>
      </c>
      <c r="J17" s="357">
        <v>1</v>
      </c>
      <c r="K17" s="357">
        <v>6</v>
      </c>
      <c r="L17" s="358">
        <f t="shared" si="0"/>
        <v>13</v>
      </c>
      <c r="M17" s="387">
        <v>0</v>
      </c>
      <c r="N17" s="359">
        <v>3</v>
      </c>
      <c r="O17" s="360">
        <f t="shared" si="1"/>
        <v>0</v>
      </c>
    </row>
    <row r="18" spans="1:15" ht="30">
      <c r="A18" s="354">
        <v>16</v>
      </c>
      <c r="B18" s="355" t="s">
        <v>89</v>
      </c>
      <c r="C18" s="356" t="s">
        <v>94</v>
      </c>
      <c r="D18" s="357">
        <v>1</v>
      </c>
      <c r="E18" s="357">
        <v>1</v>
      </c>
      <c r="F18" s="357">
        <v>1</v>
      </c>
      <c r="G18" s="357">
        <v>1</v>
      </c>
      <c r="H18" s="357">
        <v>1</v>
      </c>
      <c r="I18" s="357">
        <v>1</v>
      </c>
      <c r="J18" s="357">
        <v>1</v>
      </c>
      <c r="K18" s="357">
        <v>6</v>
      </c>
      <c r="L18" s="358">
        <f t="shared" si="0"/>
        <v>13</v>
      </c>
      <c r="M18" s="387">
        <v>0</v>
      </c>
      <c r="N18" s="359">
        <v>4</v>
      </c>
      <c r="O18" s="360">
        <f t="shared" si="1"/>
        <v>0</v>
      </c>
    </row>
    <row r="19" spans="1:15" ht="30">
      <c r="A19" s="354">
        <v>17</v>
      </c>
      <c r="B19" s="355" t="s">
        <v>90</v>
      </c>
      <c r="C19" s="356" t="s">
        <v>94</v>
      </c>
      <c r="D19" s="357">
        <v>1</v>
      </c>
      <c r="E19" s="357">
        <v>1</v>
      </c>
      <c r="F19" s="357">
        <v>1</v>
      </c>
      <c r="G19" s="357">
        <v>1</v>
      </c>
      <c r="H19" s="357">
        <v>1</v>
      </c>
      <c r="I19" s="357">
        <v>1</v>
      </c>
      <c r="J19" s="357">
        <v>1</v>
      </c>
      <c r="K19" s="357">
        <v>6</v>
      </c>
      <c r="L19" s="358">
        <f t="shared" si="0"/>
        <v>13</v>
      </c>
      <c r="M19" s="387">
        <v>0</v>
      </c>
      <c r="N19" s="359">
        <v>3</v>
      </c>
      <c r="O19" s="360">
        <f t="shared" si="1"/>
        <v>0</v>
      </c>
    </row>
    <row r="20" spans="1:15">
      <c r="A20" s="354">
        <v>18</v>
      </c>
      <c r="B20" s="355" t="s">
        <v>91</v>
      </c>
      <c r="C20" s="356" t="s">
        <v>94</v>
      </c>
      <c r="D20" s="357">
        <v>1</v>
      </c>
      <c r="E20" s="357">
        <v>1</v>
      </c>
      <c r="F20" s="357">
        <v>1</v>
      </c>
      <c r="G20" s="357">
        <v>1</v>
      </c>
      <c r="H20" s="357">
        <v>1</v>
      </c>
      <c r="I20" s="357">
        <v>1</v>
      </c>
      <c r="J20" s="357">
        <v>1</v>
      </c>
      <c r="K20" s="357">
        <v>6</v>
      </c>
      <c r="L20" s="358">
        <f t="shared" si="0"/>
        <v>13</v>
      </c>
      <c r="M20" s="387">
        <v>0</v>
      </c>
      <c r="N20" s="359">
        <v>3</v>
      </c>
      <c r="O20" s="360">
        <f t="shared" si="1"/>
        <v>0</v>
      </c>
    </row>
    <row r="21" spans="1:15" ht="30">
      <c r="A21" s="354">
        <v>19</v>
      </c>
      <c r="B21" s="355" t="s">
        <v>92</v>
      </c>
      <c r="C21" s="356" t="s">
        <v>94</v>
      </c>
      <c r="D21" s="357">
        <v>1</v>
      </c>
      <c r="E21" s="357">
        <v>1</v>
      </c>
      <c r="F21" s="357">
        <v>1</v>
      </c>
      <c r="G21" s="357">
        <v>1</v>
      </c>
      <c r="H21" s="357">
        <v>1</v>
      </c>
      <c r="I21" s="357">
        <v>1</v>
      </c>
      <c r="J21" s="357">
        <v>1</v>
      </c>
      <c r="K21" s="357">
        <v>6</v>
      </c>
      <c r="L21" s="358">
        <f t="shared" si="0"/>
        <v>13</v>
      </c>
      <c r="M21" s="387">
        <v>0</v>
      </c>
      <c r="N21" s="359">
        <v>3</v>
      </c>
      <c r="O21" s="360">
        <f t="shared" si="1"/>
        <v>0</v>
      </c>
    </row>
    <row r="22" spans="1:15" ht="30">
      <c r="A22" s="354">
        <v>20</v>
      </c>
      <c r="B22" s="355" t="s">
        <v>96</v>
      </c>
      <c r="C22" s="356" t="s">
        <v>94</v>
      </c>
      <c r="D22" s="357">
        <v>1</v>
      </c>
      <c r="E22" s="357">
        <v>1</v>
      </c>
      <c r="F22" s="357">
        <v>1</v>
      </c>
      <c r="G22" s="357">
        <v>1</v>
      </c>
      <c r="H22" s="357">
        <v>1</v>
      </c>
      <c r="I22" s="357">
        <v>1</v>
      </c>
      <c r="J22" s="357">
        <v>1</v>
      </c>
      <c r="K22" s="357">
        <v>6</v>
      </c>
      <c r="L22" s="358">
        <f t="shared" ref="L22" si="2">SUM(D22:K22)</f>
        <v>13</v>
      </c>
      <c r="M22" s="387">
        <v>0</v>
      </c>
      <c r="N22" s="359">
        <v>3</v>
      </c>
      <c r="O22" s="360">
        <f t="shared" si="1"/>
        <v>0</v>
      </c>
    </row>
    <row r="23" spans="1:15">
      <c r="A23" s="342"/>
      <c r="B23" s="343"/>
      <c r="C23" s="344"/>
      <c r="D23" s="344"/>
      <c r="E23" s="344"/>
      <c r="F23" s="344"/>
      <c r="G23" s="344"/>
      <c r="H23" s="344"/>
      <c r="I23" s="344"/>
      <c r="J23" s="344"/>
      <c r="K23" s="344"/>
      <c r="L23" s="345"/>
      <c r="M23" s="344"/>
      <c r="N23" s="346" t="s">
        <v>406</v>
      </c>
      <c r="O23" s="371">
        <f>SUM(O3:O22)</f>
        <v>0</v>
      </c>
    </row>
  </sheetData>
  <sheetProtection algorithmName="SHA-512" hashValue="MIAxa+T2ZNudvzex9uMP4n3WyU7UijSMQ6MGZ7awJOaWXj9l27KNA6A8wO9O9mt2VNc7AIVBr1S8mxdofKCEAA==" saltValue="OWPlidn3NrgWpdvq+YFYew==" spinCount="100000" sheet="1" objects="1" scenarios="1"/>
  <mergeCells count="1">
    <mergeCell ref="A1:O1"/>
  </mergeCells>
  <pageMargins left="0.25" right="0.25" top="0.75" bottom="0.75" header="0.3" footer="0.3"/>
  <pageSetup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P9"/>
  <sheetViews>
    <sheetView topLeftCell="B1" workbookViewId="0">
      <selection activeCell="M9" sqref="M9"/>
    </sheetView>
  </sheetViews>
  <sheetFormatPr defaultColWidth="0" defaultRowHeight="15" zeroHeight="1"/>
  <cols>
    <col min="1" max="1" width="5.140625" style="9" bestFit="1" customWidth="1"/>
    <col min="2" max="2" width="43.5703125" style="372" customWidth="1"/>
    <col min="3" max="3" width="8.5703125" style="9" bestFit="1" customWidth="1"/>
    <col min="4" max="4" width="10.5703125" style="9" bestFit="1" customWidth="1"/>
    <col min="5" max="5" width="6.85546875" style="9" bestFit="1" customWidth="1"/>
    <col min="6" max="6" width="9.28515625" style="9" bestFit="1" customWidth="1"/>
    <col min="7" max="7" width="12" style="9" bestFit="1" customWidth="1"/>
    <col min="8" max="8" width="8.7109375" style="9" bestFit="1" customWidth="1"/>
    <col min="9" max="9" width="10.5703125" style="9" bestFit="1" customWidth="1"/>
    <col min="10" max="10" width="13.7109375" style="9" customWidth="1"/>
    <col min="11" max="11" width="8" style="9" bestFit="1" customWidth="1"/>
    <col min="12" max="12" width="11.140625" style="9" customWidth="1"/>
    <col min="13" max="13" width="11.85546875" style="34" customWidth="1"/>
    <col min="14" max="14" width="8.85546875" style="382" customWidth="1"/>
    <col min="15" max="16" width="12.140625" style="34" bestFit="1" customWidth="1"/>
    <col min="17" max="16384" width="9.140625" style="9" hidden="1"/>
  </cols>
  <sheetData>
    <row r="1" spans="1:16">
      <c r="A1" s="659" t="s">
        <v>399</v>
      </c>
      <c r="B1" s="659"/>
      <c r="C1" s="659"/>
      <c r="D1" s="659"/>
      <c r="E1" s="659"/>
      <c r="F1" s="659"/>
      <c r="G1" s="659"/>
      <c r="H1" s="659"/>
      <c r="I1" s="659"/>
      <c r="J1" s="659"/>
      <c r="K1" s="659"/>
      <c r="L1" s="659"/>
      <c r="M1" s="659"/>
      <c r="N1" s="659"/>
      <c r="O1" s="659"/>
      <c r="P1" s="659"/>
    </row>
    <row r="2" spans="1:16" s="379" customFormat="1" ht="45">
      <c r="A2" s="375" t="s">
        <v>106</v>
      </c>
      <c r="B2" s="375" t="s">
        <v>107</v>
      </c>
      <c r="C2" s="375" t="s">
        <v>32</v>
      </c>
      <c r="D2" s="376" t="s">
        <v>7</v>
      </c>
      <c r="E2" s="376" t="s">
        <v>80</v>
      </c>
      <c r="F2" s="376" t="s">
        <v>2</v>
      </c>
      <c r="G2" s="376" t="s">
        <v>4</v>
      </c>
      <c r="H2" s="376" t="s">
        <v>5</v>
      </c>
      <c r="I2" s="376" t="s">
        <v>8</v>
      </c>
      <c r="J2" s="376" t="s">
        <v>6</v>
      </c>
      <c r="K2" s="376" t="s">
        <v>33</v>
      </c>
      <c r="L2" s="376" t="s">
        <v>400</v>
      </c>
      <c r="M2" s="377" t="s">
        <v>401</v>
      </c>
      <c r="N2" s="383" t="s">
        <v>564</v>
      </c>
      <c r="O2" s="378" t="s">
        <v>407</v>
      </c>
      <c r="P2" s="378" t="s">
        <v>390</v>
      </c>
    </row>
    <row r="3" spans="1:16">
      <c r="A3" s="9">
        <v>1</v>
      </c>
      <c r="B3" s="372" t="s">
        <v>100</v>
      </c>
      <c r="C3" s="26"/>
      <c r="D3" s="26">
        <v>1</v>
      </c>
      <c r="E3" s="26"/>
      <c r="F3" s="26"/>
      <c r="G3" s="26"/>
      <c r="H3" s="26"/>
      <c r="I3" s="26">
        <v>1</v>
      </c>
      <c r="J3" s="26"/>
      <c r="K3" s="26">
        <v>1</v>
      </c>
      <c r="L3" s="26">
        <f>SUM(C3:K3)</f>
        <v>3</v>
      </c>
      <c r="M3" s="389">
        <v>0</v>
      </c>
      <c r="N3" s="374">
        <f>3*12</f>
        <v>36</v>
      </c>
      <c r="O3" s="34">
        <f>M3/N3</f>
        <v>0</v>
      </c>
      <c r="P3" s="34">
        <f>L3*O3</f>
        <v>0</v>
      </c>
    </row>
    <row r="4" spans="1:16">
      <c r="A4" s="9">
        <v>2</v>
      </c>
      <c r="B4" s="372" t="s">
        <v>102</v>
      </c>
      <c r="C4" s="26"/>
      <c r="D4" s="26"/>
      <c r="E4" s="26"/>
      <c r="F4" s="26">
        <v>1</v>
      </c>
      <c r="G4" s="26"/>
      <c r="H4" s="26"/>
      <c r="I4" s="26">
        <v>1</v>
      </c>
      <c r="J4" s="26"/>
      <c r="K4" s="26">
        <v>1</v>
      </c>
      <c r="L4" s="26">
        <f t="shared" ref="L4:L8" si="0">SUM(C4:K4)</f>
        <v>3</v>
      </c>
      <c r="M4" s="389">
        <v>0</v>
      </c>
      <c r="N4" s="374">
        <f>2*12</f>
        <v>24</v>
      </c>
      <c r="O4" s="34">
        <f t="shared" ref="O4:O8" si="1">M4/N4</f>
        <v>0</v>
      </c>
      <c r="P4" s="34">
        <f t="shared" ref="P4:P8" si="2">L4*O4</f>
        <v>0</v>
      </c>
    </row>
    <row r="5" spans="1:16">
      <c r="A5" s="9">
        <v>3</v>
      </c>
      <c r="B5" s="372" t="s">
        <v>103</v>
      </c>
      <c r="C5" s="26"/>
      <c r="D5" s="26"/>
      <c r="E5" s="26"/>
      <c r="F5" s="26"/>
      <c r="G5" s="26"/>
      <c r="H5" s="26"/>
      <c r="I5" s="26">
        <v>1</v>
      </c>
      <c r="J5" s="26"/>
      <c r="K5" s="26">
        <v>1</v>
      </c>
      <c r="L5" s="26">
        <f t="shared" si="0"/>
        <v>2</v>
      </c>
      <c r="M5" s="389">
        <v>0</v>
      </c>
      <c r="N5" s="374">
        <f>2*12</f>
        <v>24</v>
      </c>
      <c r="O5" s="34">
        <f t="shared" si="1"/>
        <v>0</v>
      </c>
      <c r="P5" s="34">
        <f t="shared" si="2"/>
        <v>0</v>
      </c>
    </row>
    <row r="6" spans="1:16">
      <c r="A6" s="9">
        <v>4</v>
      </c>
      <c r="B6" s="372" t="s">
        <v>104</v>
      </c>
      <c r="C6" s="26"/>
      <c r="D6" s="26">
        <v>1</v>
      </c>
      <c r="E6" s="26">
        <v>1</v>
      </c>
      <c r="F6" s="26">
        <v>1</v>
      </c>
      <c r="G6" s="26">
        <v>1</v>
      </c>
      <c r="H6" s="26">
        <v>1</v>
      </c>
      <c r="I6" s="26">
        <v>1</v>
      </c>
      <c r="J6" s="26">
        <v>1</v>
      </c>
      <c r="K6" s="26">
        <v>1</v>
      </c>
      <c r="L6" s="26">
        <f t="shared" si="0"/>
        <v>8</v>
      </c>
      <c r="M6" s="389">
        <v>0</v>
      </c>
      <c r="N6" s="374">
        <f>5*12</f>
        <v>60</v>
      </c>
      <c r="O6" s="34">
        <f t="shared" si="1"/>
        <v>0</v>
      </c>
      <c r="P6" s="34">
        <f t="shared" si="2"/>
        <v>0</v>
      </c>
    </row>
    <row r="7" spans="1:16">
      <c r="A7" s="9">
        <v>5</v>
      </c>
      <c r="B7" s="372" t="s">
        <v>105</v>
      </c>
      <c r="C7" s="26"/>
      <c r="D7" s="26">
        <f>4/12</f>
        <v>0.33333333333333331</v>
      </c>
      <c r="E7" s="26">
        <f t="shared" ref="E7:K7" si="3">4/12</f>
        <v>0.33333333333333331</v>
      </c>
      <c r="F7" s="26">
        <f t="shared" si="3"/>
        <v>0.33333333333333331</v>
      </c>
      <c r="G7" s="26">
        <f t="shared" si="3"/>
        <v>0.33333333333333331</v>
      </c>
      <c r="H7" s="26">
        <f t="shared" si="3"/>
        <v>0.33333333333333331</v>
      </c>
      <c r="I7" s="26">
        <f t="shared" si="3"/>
        <v>0.33333333333333331</v>
      </c>
      <c r="J7" s="26">
        <f t="shared" si="3"/>
        <v>0.33333333333333331</v>
      </c>
      <c r="K7" s="26">
        <f t="shared" si="3"/>
        <v>0.33333333333333331</v>
      </c>
      <c r="L7" s="26">
        <f t="shared" si="0"/>
        <v>2.6666666666666665</v>
      </c>
      <c r="M7" s="389">
        <v>0</v>
      </c>
      <c r="N7" s="374">
        <f>3*12</f>
        <v>36</v>
      </c>
      <c r="O7" s="34">
        <f t="shared" si="1"/>
        <v>0</v>
      </c>
      <c r="P7" s="34">
        <f t="shared" si="2"/>
        <v>0</v>
      </c>
    </row>
    <row r="8" spans="1:16">
      <c r="A8" s="9">
        <v>6</v>
      </c>
      <c r="B8" s="372" t="s">
        <v>402</v>
      </c>
      <c r="C8" s="26"/>
      <c r="D8" s="26">
        <f>3/12</f>
        <v>0.25</v>
      </c>
      <c r="E8" s="26"/>
      <c r="F8" s="26"/>
      <c r="G8" s="26"/>
      <c r="H8" s="26"/>
      <c r="I8" s="26"/>
      <c r="J8" s="26"/>
      <c r="K8" s="26">
        <f>3/12</f>
        <v>0.25</v>
      </c>
      <c r="L8" s="26">
        <f t="shared" si="0"/>
        <v>0.5</v>
      </c>
      <c r="M8" s="389">
        <v>0</v>
      </c>
      <c r="N8" s="374">
        <f>5*12</f>
        <v>60</v>
      </c>
      <c r="O8" s="34">
        <f t="shared" si="1"/>
        <v>0</v>
      </c>
      <c r="P8" s="34">
        <f t="shared" si="2"/>
        <v>0</v>
      </c>
    </row>
    <row r="9" spans="1:16">
      <c r="A9" s="345"/>
      <c r="B9" s="343"/>
      <c r="C9" s="345"/>
      <c r="D9" s="345"/>
      <c r="E9" s="345"/>
      <c r="F9" s="345"/>
      <c r="G9" s="345"/>
      <c r="H9" s="345"/>
      <c r="I9" s="345"/>
      <c r="J9" s="345"/>
      <c r="K9" s="345"/>
      <c r="L9" s="345"/>
      <c r="M9" s="371"/>
      <c r="N9" s="380"/>
      <c r="O9" s="381" t="s">
        <v>406</v>
      </c>
      <c r="P9" s="371">
        <f>SUM(P3:P8)</f>
        <v>0</v>
      </c>
    </row>
  </sheetData>
  <sheetProtection algorithmName="SHA-512" hashValue="AJR20EDmWczklC4LuSig3kneDxGVmMBYxrp7l26vINW7B9NokT4o5M4eEIBfmndkyclcZDcY2D14jrskqA/Gew==" saltValue="awhx5Pe/jzFN3vvWs130Rg==" spinCount="100000" sheet="1" objects="1" scenarios="1"/>
  <mergeCells count="1">
    <mergeCell ref="A1:P1"/>
  </mergeCells>
  <pageMargins left="0.25" right="0.25" top="0.75" bottom="0.75" header="0.3" footer="0.3"/>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9">
    <pageSetUpPr fitToPage="1"/>
  </sheetPr>
  <dimension ref="B1:K37"/>
  <sheetViews>
    <sheetView workbookViewId="0">
      <selection activeCell="F7" sqref="F7"/>
    </sheetView>
  </sheetViews>
  <sheetFormatPr defaultColWidth="106.140625" defaultRowHeight="15"/>
  <cols>
    <col min="1" max="1" width="4.42578125" style="2" customWidth="1"/>
    <col min="2" max="2" width="13.7109375" style="2" bestFit="1" customWidth="1"/>
    <col min="3" max="3" width="18.5703125" style="2" customWidth="1"/>
    <col min="4" max="4" width="18.5703125" style="3" bestFit="1" customWidth="1"/>
    <col min="5" max="5" width="18.7109375" style="2" bestFit="1" customWidth="1"/>
    <col min="6" max="6" width="18.7109375" style="2" customWidth="1"/>
    <col min="7" max="8" width="13.85546875" style="2" customWidth="1"/>
    <col min="9" max="9" width="17.42578125" style="208" customWidth="1"/>
    <col min="10" max="10" width="18.5703125" style="208" customWidth="1"/>
    <col min="11" max="11" width="13.7109375" style="2" customWidth="1"/>
    <col min="12" max="16384" width="106.140625" style="2"/>
  </cols>
  <sheetData>
    <row r="1" spans="2:10">
      <c r="B1" s="196" t="s">
        <v>28</v>
      </c>
      <c r="C1" s="196"/>
      <c r="D1" s="197"/>
      <c r="E1" s="196"/>
      <c r="F1" s="196"/>
      <c r="G1" s="196"/>
      <c r="H1" s="196"/>
      <c r="I1" s="205"/>
      <c r="J1" s="205"/>
    </row>
    <row r="2" spans="2:10" s="4" customFormat="1" ht="30">
      <c r="B2" s="198" t="s">
        <v>9</v>
      </c>
      <c r="C2" s="198" t="s">
        <v>10</v>
      </c>
      <c r="D2" s="199" t="s">
        <v>21</v>
      </c>
      <c r="E2" s="198" t="s">
        <v>22</v>
      </c>
      <c r="F2" s="198" t="s">
        <v>29</v>
      </c>
      <c r="G2" s="198" t="s">
        <v>385</v>
      </c>
      <c r="H2" s="198" t="s">
        <v>386</v>
      </c>
      <c r="I2" s="206" t="s">
        <v>387</v>
      </c>
      <c r="J2" s="206" t="s">
        <v>388</v>
      </c>
    </row>
    <row r="3" spans="2:10">
      <c r="B3" s="660" t="s">
        <v>0</v>
      </c>
      <c r="C3" s="200" t="s">
        <v>12</v>
      </c>
      <c r="D3" s="201">
        <v>386.66</v>
      </c>
      <c r="E3" s="202">
        <f>135.15+394.07</f>
        <v>529.22</v>
      </c>
      <c r="F3" s="202"/>
      <c r="G3" s="203">
        <f>Produtividade!$C$22</f>
        <v>1.6666666666666668E-3</v>
      </c>
      <c r="H3" s="203">
        <f>Produtividade!$C$26</f>
        <v>8.3333333333333339E-4</v>
      </c>
      <c r="I3" s="205">
        <f>ROUND(G3*D3,0)</f>
        <v>1</v>
      </c>
      <c r="J3" s="205">
        <f>ROUND(E3*H3,0)</f>
        <v>0</v>
      </c>
    </row>
    <row r="4" spans="2:10">
      <c r="B4" s="661"/>
      <c r="C4" s="200" t="s">
        <v>13</v>
      </c>
      <c r="D4" s="201">
        <v>386.66</v>
      </c>
      <c r="E4" s="202">
        <v>686.16</v>
      </c>
      <c r="F4" s="202"/>
      <c r="G4" s="203">
        <f>Produtividade!$C$22</f>
        <v>1.6666666666666668E-3</v>
      </c>
      <c r="H4" s="203">
        <f>Produtividade!$C$26</f>
        <v>8.3333333333333339E-4</v>
      </c>
      <c r="I4" s="205">
        <f t="shared" ref="I4:I28" si="0">ROUND(G4*D4,0)</f>
        <v>1</v>
      </c>
      <c r="J4" s="205">
        <f t="shared" ref="J4:J28" si="1">ROUND(E4*H4,0)</f>
        <v>1</v>
      </c>
    </row>
    <row r="5" spans="2:10">
      <c r="B5" s="661"/>
      <c r="C5" s="200" t="s">
        <v>14</v>
      </c>
      <c r="D5" s="201">
        <v>386.66</v>
      </c>
      <c r="E5" s="202"/>
      <c r="F5" s="202"/>
      <c r="G5" s="203">
        <f>Produtividade!$C$22</f>
        <v>1.6666666666666668E-3</v>
      </c>
      <c r="H5" s="203">
        <f>Produtividade!$C$26</f>
        <v>8.3333333333333339E-4</v>
      </c>
      <c r="I5" s="205">
        <f t="shared" si="0"/>
        <v>1</v>
      </c>
      <c r="J5" s="205">
        <f t="shared" si="1"/>
        <v>0</v>
      </c>
    </row>
    <row r="6" spans="2:10">
      <c r="B6" s="661"/>
      <c r="C6" s="200" t="s">
        <v>15</v>
      </c>
      <c r="D6" s="201">
        <v>386.66</v>
      </c>
      <c r="E6" s="201">
        <f>156.71+227.4</f>
        <v>384.11</v>
      </c>
      <c r="F6" s="201"/>
      <c r="G6" s="203">
        <f>Produtividade!$C$22</f>
        <v>1.6666666666666668E-3</v>
      </c>
      <c r="H6" s="203">
        <f>Produtividade!$C$26</f>
        <v>8.3333333333333339E-4</v>
      </c>
      <c r="I6" s="205">
        <f t="shared" si="0"/>
        <v>1</v>
      </c>
      <c r="J6" s="205">
        <f t="shared" si="1"/>
        <v>0</v>
      </c>
    </row>
    <row r="7" spans="2:10">
      <c r="B7" s="661"/>
      <c r="C7" s="200" t="s">
        <v>16</v>
      </c>
      <c r="D7" s="201">
        <v>386.66</v>
      </c>
      <c r="E7" s="201">
        <v>147.41</v>
      </c>
      <c r="F7" s="201"/>
      <c r="G7" s="203">
        <f>Produtividade!$C$22</f>
        <v>1.6666666666666668E-3</v>
      </c>
      <c r="H7" s="203">
        <f>Produtividade!$C$26</f>
        <v>8.3333333333333339E-4</v>
      </c>
      <c r="I7" s="205">
        <f t="shared" si="0"/>
        <v>1</v>
      </c>
      <c r="J7" s="205">
        <f t="shared" si="1"/>
        <v>0</v>
      </c>
    </row>
    <row r="8" spans="2:10">
      <c r="B8" s="661"/>
      <c r="C8" s="200" t="s">
        <v>17</v>
      </c>
      <c r="D8" s="201">
        <v>386.66</v>
      </c>
      <c r="E8" s="202">
        <f>279.23+101.52</f>
        <v>380.75</v>
      </c>
      <c r="F8" s="202"/>
      <c r="G8" s="203">
        <f>Produtividade!$C$22</f>
        <v>1.6666666666666668E-3</v>
      </c>
      <c r="H8" s="203">
        <f>Produtividade!$C$26</f>
        <v>8.3333333333333339E-4</v>
      </c>
      <c r="I8" s="205">
        <f t="shared" si="0"/>
        <v>1</v>
      </c>
      <c r="J8" s="205">
        <f t="shared" si="1"/>
        <v>0</v>
      </c>
    </row>
    <row r="9" spans="2:10">
      <c r="B9" s="661"/>
      <c r="C9" s="200" t="s">
        <v>18</v>
      </c>
      <c r="D9" s="201">
        <v>367.43</v>
      </c>
      <c r="E9" s="202">
        <f>118.45+61.39+414.95</f>
        <v>594.79</v>
      </c>
      <c r="F9" s="202"/>
      <c r="G9" s="203">
        <f>Produtividade!$C$22</f>
        <v>1.6666666666666668E-3</v>
      </c>
      <c r="H9" s="203">
        <f>Produtividade!$C$26</f>
        <v>8.3333333333333339E-4</v>
      </c>
      <c r="I9" s="205">
        <f t="shared" si="0"/>
        <v>1</v>
      </c>
      <c r="J9" s="205">
        <f t="shared" si="1"/>
        <v>0</v>
      </c>
    </row>
    <row r="10" spans="2:10">
      <c r="B10" s="661"/>
      <c r="C10" s="200" t="s">
        <v>19</v>
      </c>
      <c r="D10" s="201">
        <v>140.51</v>
      </c>
      <c r="E10" s="202">
        <f>218.68+77.87+84.7+286.31+(271.96-224.98)</f>
        <v>714.54</v>
      </c>
      <c r="F10" s="202"/>
      <c r="G10" s="203">
        <f>Produtividade!$C$22</f>
        <v>1.6666666666666668E-3</v>
      </c>
      <c r="H10" s="203">
        <f>Produtividade!$C$26</f>
        <v>8.3333333333333339E-4</v>
      </c>
      <c r="I10" s="205">
        <f t="shared" si="0"/>
        <v>0</v>
      </c>
      <c r="J10" s="205">
        <f t="shared" si="1"/>
        <v>1</v>
      </c>
    </row>
    <row r="11" spans="2:10">
      <c r="B11" s="661"/>
      <c r="C11" s="200" t="s">
        <v>20</v>
      </c>
      <c r="D11" s="201">
        <v>17.39</v>
      </c>
      <c r="E11" s="202"/>
      <c r="F11" s="202"/>
      <c r="G11" s="203">
        <f>Produtividade!$C$22</f>
        <v>1.6666666666666668E-3</v>
      </c>
      <c r="H11" s="203">
        <f>Produtividade!$C$26</f>
        <v>8.3333333333333339E-4</v>
      </c>
      <c r="I11" s="205">
        <f t="shared" si="0"/>
        <v>0</v>
      </c>
      <c r="J11" s="205">
        <f t="shared" si="1"/>
        <v>0</v>
      </c>
    </row>
    <row r="12" spans="2:10">
      <c r="B12" s="661"/>
      <c r="C12" s="200" t="s">
        <v>23</v>
      </c>
      <c r="D12" s="201">
        <v>8.26</v>
      </c>
      <c r="E12" s="202"/>
      <c r="F12" s="202"/>
      <c r="G12" s="203">
        <f>Produtividade!$C$22</f>
        <v>1.6666666666666668E-3</v>
      </c>
      <c r="H12" s="203">
        <f>Produtividade!$C$26</f>
        <v>8.3333333333333339E-4</v>
      </c>
      <c r="I12" s="205">
        <f t="shared" si="0"/>
        <v>0</v>
      </c>
      <c r="J12" s="205">
        <f t="shared" si="1"/>
        <v>0</v>
      </c>
    </row>
    <row r="13" spans="2:10">
      <c r="B13" s="661"/>
      <c r="C13" s="200" t="s">
        <v>379</v>
      </c>
      <c r="D13" s="201">
        <v>258.57</v>
      </c>
      <c r="E13" s="202">
        <v>172.09</v>
      </c>
      <c r="F13" s="202">
        <v>705.66</v>
      </c>
      <c r="G13" s="203">
        <f>Produtividade!$C$22</f>
        <v>1.6666666666666668E-3</v>
      </c>
      <c r="H13" s="203">
        <f>Produtividade!$C$26</f>
        <v>8.3333333333333339E-4</v>
      </c>
      <c r="I13" s="205">
        <f t="shared" si="0"/>
        <v>0</v>
      </c>
      <c r="J13" s="205">
        <f t="shared" si="1"/>
        <v>0</v>
      </c>
    </row>
    <row r="14" spans="2:10">
      <c r="B14" s="661"/>
      <c r="C14" s="200" t="s">
        <v>377</v>
      </c>
      <c r="D14" s="201">
        <v>79.150000000000006</v>
      </c>
      <c r="E14" s="202"/>
      <c r="F14" s="202"/>
      <c r="G14" s="203">
        <f>Produtividade!$C$22</f>
        <v>1.6666666666666668E-3</v>
      </c>
      <c r="H14" s="203">
        <f>Produtividade!$C$26</f>
        <v>8.3333333333333339E-4</v>
      </c>
      <c r="I14" s="205">
        <f t="shared" si="0"/>
        <v>0</v>
      </c>
      <c r="J14" s="205">
        <f t="shared" si="1"/>
        <v>0</v>
      </c>
    </row>
    <row r="15" spans="2:10">
      <c r="B15" s="661"/>
      <c r="C15" s="200" t="s">
        <v>378</v>
      </c>
      <c r="D15" s="201">
        <v>63.61</v>
      </c>
      <c r="E15" s="202"/>
      <c r="F15" s="202"/>
      <c r="G15" s="203">
        <f>Produtividade!$C$22</f>
        <v>1.6666666666666668E-3</v>
      </c>
      <c r="H15" s="203">
        <f>Produtividade!$C$26</f>
        <v>8.3333333333333339E-4</v>
      </c>
      <c r="I15" s="205">
        <f t="shared" si="0"/>
        <v>0</v>
      </c>
      <c r="J15" s="205">
        <f t="shared" si="1"/>
        <v>0</v>
      </c>
    </row>
    <row r="16" spans="2:10">
      <c r="B16" s="661"/>
      <c r="C16" s="200" t="s">
        <v>24</v>
      </c>
      <c r="D16" s="201">
        <v>27.39</v>
      </c>
      <c r="E16" s="202">
        <v>49.3</v>
      </c>
      <c r="F16" s="202"/>
      <c r="G16" s="203">
        <f>Produtividade!$C$22</f>
        <v>1.6666666666666668E-3</v>
      </c>
      <c r="H16" s="203">
        <f>Produtividade!$C$26</f>
        <v>8.3333333333333339E-4</v>
      </c>
      <c r="I16" s="205">
        <f t="shared" si="0"/>
        <v>0</v>
      </c>
      <c r="J16" s="205">
        <f t="shared" si="1"/>
        <v>0</v>
      </c>
    </row>
    <row r="17" spans="2:11" ht="30">
      <c r="B17" s="661"/>
      <c r="C17" s="200" t="s">
        <v>380</v>
      </c>
      <c r="D17" s="201">
        <v>40.31</v>
      </c>
      <c r="E17" s="202"/>
      <c r="F17" s="202"/>
      <c r="G17" s="203">
        <f>Produtividade!$C$22</f>
        <v>1.6666666666666668E-3</v>
      </c>
      <c r="H17" s="203">
        <f>Produtividade!$C$26</f>
        <v>8.3333333333333339E-4</v>
      </c>
      <c r="I17" s="205">
        <f t="shared" si="0"/>
        <v>0</v>
      </c>
      <c r="J17" s="205">
        <f t="shared" si="1"/>
        <v>0</v>
      </c>
    </row>
    <row r="18" spans="2:11">
      <c r="B18" s="662"/>
      <c r="C18" s="200" t="s">
        <v>381</v>
      </c>
      <c r="D18" s="201">
        <v>0</v>
      </c>
      <c r="E18" s="202">
        <v>2613.37</v>
      </c>
      <c r="F18" s="202"/>
      <c r="G18" s="203">
        <f>Produtividade!$C$22</f>
        <v>1.6666666666666668E-3</v>
      </c>
      <c r="H18" s="203">
        <f>Produtividade!$C$26</f>
        <v>8.3333333333333339E-4</v>
      </c>
      <c r="I18" s="205">
        <f t="shared" si="0"/>
        <v>0</v>
      </c>
      <c r="J18" s="205">
        <f t="shared" si="1"/>
        <v>2</v>
      </c>
    </row>
    <row r="19" spans="2:11">
      <c r="B19" s="660" t="s">
        <v>1</v>
      </c>
      <c r="C19" s="200" t="s">
        <v>25</v>
      </c>
      <c r="D19" s="201">
        <v>536.01</v>
      </c>
      <c r="E19" s="201">
        <v>64.58</v>
      </c>
      <c r="F19" s="201">
        <v>374.18</v>
      </c>
      <c r="G19" s="203">
        <f>Produtividade!$C$22</f>
        <v>1.6666666666666668E-3</v>
      </c>
      <c r="H19" s="203">
        <f>Produtividade!$C$26</f>
        <v>8.3333333333333339E-4</v>
      </c>
      <c r="I19" s="205">
        <f t="shared" si="0"/>
        <v>1</v>
      </c>
      <c r="J19" s="205">
        <f t="shared" si="1"/>
        <v>0</v>
      </c>
    </row>
    <row r="20" spans="2:11">
      <c r="B20" s="661"/>
      <c r="C20" s="200" t="s">
        <v>26</v>
      </c>
      <c r="D20" s="201">
        <v>536.01</v>
      </c>
      <c r="E20" s="201"/>
      <c r="F20" s="201"/>
      <c r="G20" s="203">
        <f>Produtividade!$C$22</f>
        <v>1.6666666666666668E-3</v>
      </c>
      <c r="H20" s="203">
        <f>Produtividade!$C$26</f>
        <v>8.3333333333333339E-4</v>
      </c>
      <c r="I20" s="205">
        <f t="shared" si="0"/>
        <v>1</v>
      </c>
      <c r="J20" s="205">
        <f t="shared" si="1"/>
        <v>0</v>
      </c>
    </row>
    <row r="21" spans="2:11">
      <c r="B21" s="662"/>
      <c r="C21" s="200" t="s">
        <v>27</v>
      </c>
      <c r="D21" s="201">
        <v>156.66</v>
      </c>
      <c r="E21" s="202">
        <v>276.31</v>
      </c>
      <c r="F21" s="202"/>
      <c r="G21" s="203">
        <f>Produtividade!$C$22</f>
        <v>1.6666666666666668E-3</v>
      </c>
      <c r="H21" s="203">
        <f>Produtividade!$C$26</f>
        <v>8.3333333333333339E-4</v>
      </c>
      <c r="I21" s="209">
        <v>1</v>
      </c>
      <c r="J21" s="205">
        <f t="shared" si="1"/>
        <v>0</v>
      </c>
      <c r="K21" s="186">
        <f>SUM(I3:J21)</f>
        <v>14</v>
      </c>
    </row>
    <row r="22" spans="2:11">
      <c r="B22" s="200" t="s">
        <v>2</v>
      </c>
      <c r="C22" s="200"/>
      <c r="D22" s="201">
        <v>443.68</v>
      </c>
      <c r="E22" s="201">
        <f>923.85-D22</f>
        <v>480.17</v>
      </c>
      <c r="F22" s="201"/>
      <c r="G22" s="203">
        <f>Produtividade!$C$22</f>
        <v>1.6666666666666668E-3</v>
      </c>
      <c r="H22" s="203">
        <f>Produtividade!$C$26</f>
        <v>8.3333333333333339E-4</v>
      </c>
      <c r="I22" s="205">
        <f t="shared" si="0"/>
        <v>1</v>
      </c>
      <c r="J22" s="205">
        <f t="shared" si="1"/>
        <v>0</v>
      </c>
    </row>
    <row r="23" spans="2:11" ht="15" customHeight="1">
      <c r="B23" s="200" t="s">
        <v>3</v>
      </c>
      <c r="C23" s="200"/>
      <c r="D23" s="201">
        <v>152.9</v>
      </c>
      <c r="E23" s="201"/>
      <c r="F23" s="201"/>
      <c r="G23" s="203">
        <f>Produtividade!$C$22</f>
        <v>1.6666666666666668E-3</v>
      </c>
      <c r="H23" s="203">
        <f>Produtividade!$C$26</f>
        <v>8.3333333333333339E-4</v>
      </c>
      <c r="I23" s="209">
        <v>1</v>
      </c>
      <c r="J23" s="205">
        <f t="shared" si="1"/>
        <v>0</v>
      </c>
    </row>
    <row r="24" spans="2:11">
      <c r="B24" s="200" t="s">
        <v>4</v>
      </c>
      <c r="C24" s="200"/>
      <c r="D24" s="201">
        <v>503.8</v>
      </c>
      <c r="E24" s="201">
        <v>0</v>
      </c>
      <c r="F24" s="201"/>
      <c r="G24" s="203">
        <f>Produtividade!$C$22</f>
        <v>1.6666666666666668E-3</v>
      </c>
      <c r="H24" s="203">
        <f>Produtividade!$C$26</f>
        <v>8.3333333333333339E-4</v>
      </c>
      <c r="I24" s="205">
        <f t="shared" si="0"/>
        <v>1</v>
      </c>
      <c r="J24" s="205">
        <f t="shared" si="1"/>
        <v>0</v>
      </c>
    </row>
    <row r="25" spans="2:11">
      <c r="B25" s="200" t="s">
        <v>5</v>
      </c>
      <c r="C25" s="200"/>
      <c r="D25" s="201">
        <v>126.9</v>
      </c>
      <c r="E25" s="201">
        <v>0</v>
      </c>
      <c r="F25" s="201"/>
      <c r="G25" s="203">
        <f>Produtividade!$C$22</f>
        <v>1.6666666666666668E-3</v>
      </c>
      <c r="H25" s="203">
        <f>Produtividade!$C$26</f>
        <v>8.3333333333333339E-4</v>
      </c>
      <c r="I25" s="209">
        <v>1</v>
      </c>
      <c r="J25" s="205">
        <f t="shared" si="1"/>
        <v>0</v>
      </c>
    </row>
    <row r="26" spans="2:11">
      <c r="B26" s="200" t="s">
        <v>6</v>
      </c>
      <c r="C26" s="200"/>
      <c r="D26" s="201">
        <v>384.13</v>
      </c>
      <c r="E26" s="201">
        <f>155.33+65.14</f>
        <v>220.47000000000003</v>
      </c>
      <c r="F26" s="201"/>
      <c r="G26" s="203">
        <f>Produtividade!$C$22</f>
        <v>1.6666666666666668E-3</v>
      </c>
      <c r="H26" s="203">
        <f>Produtividade!$C$26</f>
        <v>8.3333333333333339E-4</v>
      </c>
      <c r="I26" s="205">
        <f t="shared" si="0"/>
        <v>1</v>
      </c>
      <c r="J26" s="205">
        <f t="shared" si="1"/>
        <v>0</v>
      </c>
    </row>
    <row r="27" spans="2:11">
      <c r="B27" s="200" t="s">
        <v>7</v>
      </c>
      <c r="C27" s="200"/>
      <c r="D27" s="201">
        <f>198.51*2</f>
        <v>397.02</v>
      </c>
      <c r="E27" s="201">
        <v>0</v>
      </c>
      <c r="F27" s="201"/>
      <c r="G27" s="203">
        <f>Produtividade!$C$22</f>
        <v>1.6666666666666668E-3</v>
      </c>
      <c r="H27" s="203">
        <f>Produtividade!$C$26</f>
        <v>8.3333333333333339E-4</v>
      </c>
      <c r="I27" s="205">
        <f t="shared" si="0"/>
        <v>1</v>
      </c>
      <c r="J27" s="205">
        <f t="shared" si="1"/>
        <v>0</v>
      </c>
    </row>
    <row r="28" spans="2:11">
      <c r="B28" s="200" t="s">
        <v>8</v>
      </c>
      <c r="C28" s="200"/>
      <c r="D28" s="201">
        <f>405.31+272.06+59.51+97.57</f>
        <v>834.45</v>
      </c>
      <c r="E28" s="201">
        <v>228.11</v>
      </c>
      <c r="F28" s="201"/>
      <c r="G28" s="203">
        <f>Produtividade!$C$22</f>
        <v>1.6666666666666668E-3</v>
      </c>
      <c r="H28" s="203">
        <f>Produtividade!$C$26</f>
        <v>8.3333333333333339E-4</v>
      </c>
      <c r="I28" s="205">
        <f t="shared" si="0"/>
        <v>1</v>
      </c>
      <c r="J28" s="205">
        <f t="shared" si="1"/>
        <v>0</v>
      </c>
    </row>
    <row r="29" spans="2:11">
      <c r="B29" s="200"/>
      <c r="C29" s="200"/>
      <c r="D29" s="204">
        <f>SUM(D3:D28)</f>
        <v>7394.14</v>
      </c>
      <c r="E29" s="204">
        <f t="shared" ref="E29:F29" si="2">SUM(E3:E28)</f>
        <v>7541.380000000001</v>
      </c>
      <c r="F29" s="204">
        <f t="shared" si="2"/>
        <v>1079.8399999999999</v>
      </c>
      <c r="G29" s="204"/>
      <c r="H29" s="204"/>
      <c r="I29" s="207">
        <f>SUM(I3:I28)</f>
        <v>17</v>
      </c>
      <c r="J29" s="207">
        <f>SUM(J3:J28)</f>
        <v>4</v>
      </c>
    </row>
    <row r="30" spans="2:11">
      <c r="E30" s="186"/>
    </row>
    <row r="31" spans="2:11">
      <c r="D31" s="278"/>
      <c r="E31" s="278"/>
    </row>
    <row r="32" spans="2:11">
      <c r="D32" s="278"/>
      <c r="E32" s="279"/>
    </row>
    <row r="33" spans="4:5" s="2" customFormat="1">
      <c r="D33" s="278"/>
      <c r="E33" s="280"/>
    </row>
    <row r="34" spans="4:5" s="2" customFormat="1">
      <c r="D34" s="278"/>
      <c r="E34" s="280"/>
    </row>
    <row r="35" spans="4:5" s="2" customFormat="1">
      <c r="D35" s="278"/>
      <c r="E35" s="280"/>
    </row>
    <row r="36" spans="4:5" s="2" customFormat="1">
      <c r="D36" s="278"/>
      <c r="E36" s="279"/>
    </row>
    <row r="37" spans="4:5" s="2" customFormat="1">
      <c r="D37" s="278"/>
      <c r="E37" s="280"/>
    </row>
  </sheetData>
  <mergeCells count="2">
    <mergeCell ref="B3:B18"/>
    <mergeCell ref="B19:B21"/>
  </mergeCells>
  <pageMargins left="0.25" right="0.25" top="0.75" bottom="0.75" header="0.3" footer="0.3"/>
  <pageSetup paperSize="9" scale="91"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pageSetUpPr fitToPage="1"/>
  </sheetPr>
  <dimension ref="A1:IS162"/>
  <sheetViews>
    <sheetView topLeftCell="A22" workbookViewId="0">
      <selection activeCell="H40" sqref="H40"/>
    </sheetView>
  </sheetViews>
  <sheetFormatPr defaultColWidth="11.42578125" defaultRowHeight="11.25"/>
  <cols>
    <col min="1" max="1" width="5" style="114" customWidth="1"/>
    <col min="2" max="2" width="31.85546875" style="114" customWidth="1"/>
    <col min="3" max="3" width="20.5703125" style="114" customWidth="1"/>
    <col min="4" max="4" width="26.140625" style="114" customWidth="1"/>
    <col min="5" max="5" width="19.7109375" style="114" customWidth="1"/>
    <col min="6" max="7" width="17.5703125" style="114" customWidth="1"/>
    <col min="8" max="8" width="15" style="114" customWidth="1"/>
    <col min="9" max="253" width="11.42578125" style="114"/>
    <col min="254" max="254" width="2.85546875" style="114" customWidth="1"/>
    <col min="255" max="255" width="87.140625" style="114" customWidth="1"/>
    <col min="256" max="256" width="22.140625" style="114" customWidth="1"/>
    <col min="257" max="257" width="5" style="114" customWidth="1"/>
    <col min="258" max="258" width="30.5703125" style="114" customWidth="1"/>
    <col min="259" max="259" width="20.5703125" style="114" customWidth="1"/>
    <col min="260" max="260" width="26.140625" style="114" customWidth="1"/>
    <col min="261" max="261" width="19.7109375" style="114" customWidth="1"/>
    <col min="262" max="263" width="17.5703125" style="114" customWidth="1"/>
    <col min="264" max="264" width="0" style="114" hidden="1" customWidth="1"/>
    <col min="265" max="509" width="11.42578125" style="114"/>
    <col min="510" max="510" width="2.85546875" style="114" customWidth="1"/>
    <col min="511" max="511" width="87.140625" style="114" customWidth="1"/>
    <col min="512" max="512" width="22.140625" style="114" customWidth="1"/>
    <col min="513" max="513" width="5" style="114" customWidth="1"/>
    <col min="514" max="514" width="30.5703125" style="114" customWidth="1"/>
    <col min="515" max="515" width="20.5703125" style="114" customWidth="1"/>
    <col min="516" max="516" width="26.140625" style="114" customWidth="1"/>
    <col min="517" max="517" width="19.7109375" style="114" customWidth="1"/>
    <col min="518" max="519" width="17.5703125" style="114" customWidth="1"/>
    <col min="520" max="520" width="0" style="114" hidden="1" customWidth="1"/>
    <col min="521" max="765" width="11.42578125" style="114"/>
    <col min="766" max="766" width="2.85546875" style="114" customWidth="1"/>
    <col min="767" max="767" width="87.140625" style="114" customWidth="1"/>
    <col min="768" max="768" width="22.140625" style="114" customWidth="1"/>
    <col min="769" max="769" width="5" style="114" customWidth="1"/>
    <col min="770" max="770" width="30.5703125" style="114" customWidth="1"/>
    <col min="771" max="771" width="20.5703125" style="114" customWidth="1"/>
    <col min="772" max="772" width="26.140625" style="114" customWidth="1"/>
    <col min="773" max="773" width="19.7109375" style="114" customWidth="1"/>
    <col min="774" max="775" width="17.5703125" style="114" customWidth="1"/>
    <col min="776" max="776" width="0" style="114" hidden="1" customWidth="1"/>
    <col min="777" max="1021" width="11.42578125" style="114"/>
    <col min="1022" max="1022" width="2.85546875" style="114" customWidth="1"/>
    <col min="1023" max="1023" width="87.140625" style="114" customWidth="1"/>
    <col min="1024" max="1024" width="22.140625" style="114" customWidth="1"/>
    <col min="1025" max="1025" width="5" style="114" customWidth="1"/>
    <col min="1026" max="1026" width="30.5703125" style="114" customWidth="1"/>
    <col min="1027" max="1027" width="20.5703125" style="114" customWidth="1"/>
    <col min="1028" max="1028" width="26.140625" style="114" customWidth="1"/>
    <col min="1029" max="1029" width="19.7109375" style="114" customWidth="1"/>
    <col min="1030" max="1031" width="17.5703125" style="114" customWidth="1"/>
    <col min="1032" max="1032" width="0" style="114" hidden="1" customWidth="1"/>
    <col min="1033" max="1277" width="11.42578125" style="114"/>
    <col min="1278" max="1278" width="2.85546875" style="114" customWidth="1"/>
    <col min="1279" max="1279" width="87.140625" style="114" customWidth="1"/>
    <col min="1280" max="1280" width="22.140625" style="114" customWidth="1"/>
    <col min="1281" max="1281" width="5" style="114" customWidth="1"/>
    <col min="1282" max="1282" width="30.5703125" style="114" customWidth="1"/>
    <col min="1283" max="1283" width="20.5703125" style="114" customWidth="1"/>
    <col min="1284" max="1284" width="26.140625" style="114" customWidth="1"/>
    <col min="1285" max="1285" width="19.7109375" style="114" customWidth="1"/>
    <col min="1286" max="1287" width="17.5703125" style="114" customWidth="1"/>
    <col min="1288" max="1288" width="0" style="114" hidden="1" customWidth="1"/>
    <col min="1289" max="1533" width="11.42578125" style="114"/>
    <col min="1534" max="1534" width="2.85546875" style="114" customWidth="1"/>
    <col min="1535" max="1535" width="87.140625" style="114" customWidth="1"/>
    <col min="1536" max="1536" width="22.140625" style="114" customWidth="1"/>
    <col min="1537" max="1537" width="5" style="114" customWidth="1"/>
    <col min="1538" max="1538" width="30.5703125" style="114" customWidth="1"/>
    <col min="1539" max="1539" width="20.5703125" style="114" customWidth="1"/>
    <col min="1540" max="1540" width="26.140625" style="114" customWidth="1"/>
    <col min="1541" max="1541" width="19.7109375" style="114" customWidth="1"/>
    <col min="1542" max="1543" width="17.5703125" style="114" customWidth="1"/>
    <col min="1544" max="1544" width="0" style="114" hidden="1" customWidth="1"/>
    <col min="1545" max="1789" width="11.42578125" style="114"/>
    <col min="1790" max="1790" width="2.85546875" style="114" customWidth="1"/>
    <col min="1791" max="1791" width="87.140625" style="114" customWidth="1"/>
    <col min="1792" max="1792" width="22.140625" style="114" customWidth="1"/>
    <col min="1793" max="1793" width="5" style="114" customWidth="1"/>
    <col min="1794" max="1794" width="30.5703125" style="114" customWidth="1"/>
    <col min="1795" max="1795" width="20.5703125" style="114" customWidth="1"/>
    <col min="1796" max="1796" width="26.140625" style="114" customWidth="1"/>
    <col min="1797" max="1797" width="19.7109375" style="114" customWidth="1"/>
    <col min="1798" max="1799" width="17.5703125" style="114" customWidth="1"/>
    <col min="1800" max="1800" width="0" style="114" hidden="1" customWidth="1"/>
    <col min="1801" max="2045" width="11.42578125" style="114"/>
    <col min="2046" max="2046" width="2.85546875" style="114" customWidth="1"/>
    <col min="2047" max="2047" width="87.140625" style="114" customWidth="1"/>
    <col min="2048" max="2048" width="22.140625" style="114" customWidth="1"/>
    <col min="2049" max="2049" width="5" style="114" customWidth="1"/>
    <col min="2050" max="2050" width="30.5703125" style="114" customWidth="1"/>
    <col min="2051" max="2051" width="20.5703125" style="114" customWidth="1"/>
    <col min="2052" max="2052" width="26.140625" style="114" customWidth="1"/>
    <col min="2053" max="2053" width="19.7109375" style="114" customWidth="1"/>
    <col min="2054" max="2055" width="17.5703125" style="114" customWidth="1"/>
    <col min="2056" max="2056" width="0" style="114" hidden="1" customWidth="1"/>
    <col min="2057" max="2301" width="11.42578125" style="114"/>
    <col min="2302" max="2302" width="2.85546875" style="114" customWidth="1"/>
    <col min="2303" max="2303" width="87.140625" style="114" customWidth="1"/>
    <col min="2304" max="2304" width="22.140625" style="114" customWidth="1"/>
    <col min="2305" max="2305" width="5" style="114" customWidth="1"/>
    <col min="2306" max="2306" width="30.5703125" style="114" customWidth="1"/>
    <col min="2307" max="2307" width="20.5703125" style="114" customWidth="1"/>
    <col min="2308" max="2308" width="26.140625" style="114" customWidth="1"/>
    <col min="2309" max="2309" width="19.7109375" style="114" customWidth="1"/>
    <col min="2310" max="2311" width="17.5703125" style="114" customWidth="1"/>
    <col min="2312" max="2312" width="0" style="114" hidden="1" customWidth="1"/>
    <col min="2313" max="2557" width="11.42578125" style="114"/>
    <col min="2558" max="2558" width="2.85546875" style="114" customWidth="1"/>
    <col min="2559" max="2559" width="87.140625" style="114" customWidth="1"/>
    <col min="2560" max="2560" width="22.140625" style="114" customWidth="1"/>
    <col min="2561" max="2561" width="5" style="114" customWidth="1"/>
    <col min="2562" max="2562" width="30.5703125" style="114" customWidth="1"/>
    <col min="2563" max="2563" width="20.5703125" style="114" customWidth="1"/>
    <col min="2564" max="2564" width="26.140625" style="114" customWidth="1"/>
    <col min="2565" max="2565" width="19.7109375" style="114" customWidth="1"/>
    <col min="2566" max="2567" width="17.5703125" style="114" customWidth="1"/>
    <col min="2568" max="2568" width="0" style="114" hidden="1" customWidth="1"/>
    <col min="2569" max="2813" width="11.42578125" style="114"/>
    <col min="2814" max="2814" width="2.85546875" style="114" customWidth="1"/>
    <col min="2815" max="2815" width="87.140625" style="114" customWidth="1"/>
    <col min="2816" max="2816" width="22.140625" style="114" customWidth="1"/>
    <col min="2817" max="2817" width="5" style="114" customWidth="1"/>
    <col min="2818" max="2818" width="30.5703125" style="114" customWidth="1"/>
    <col min="2819" max="2819" width="20.5703125" style="114" customWidth="1"/>
    <col min="2820" max="2820" width="26.140625" style="114" customWidth="1"/>
    <col min="2821" max="2821" width="19.7109375" style="114" customWidth="1"/>
    <col min="2822" max="2823" width="17.5703125" style="114" customWidth="1"/>
    <col min="2824" max="2824" width="0" style="114" hidden="1" customWidth="1"/>
    <col min="2825" max="3069" width="11.42578125" style="114"/>
    <col min="3070" max="3070" width="2.85546875" style="114" customWidth="1"/>
    <col min="3071" max="3071" width="87.140625" style="114" customWidth="1"/>
    <col min="3072" max="3072" width="22.140625" style="114" customWidth="1"/>
    <col min="3073" max="3073" width="5" style="114" customWidth="1"/>
    <col min="3074" max="3074" width="30.5703125" style="114" customWidth="1"/>
    <col min="3075" max="3075" width="20.5703125" style="114" customWidth="1"/>
    <col min="3076" max="3076" width="26.140625" style="114" customWidth="1"/>
    <col min="3077" max="3077" width="19.7109375" style="114" customWidth="1"/>
    <col min="3078" max="3079" width="17.5703125" style="114" customWidth="1"/>
    <col min="3080" max="3080" width="0" style="114" hidden="1" customWidth="1"/>
    <col min="3081" max="3325" width="11.42578125" style="114"/>
    <col min="3326" max="3326" width="2.85546875" style="114" customWidth="1"/>
    <col min="3327" max="3327" width="87.140625" style="114" customWidth="1"/>
    <col min="3328" max="3328" width="22.140625" style="114" customWidth="1"/>
    <col min="3329" max="3329" width="5" style="114" customWidth="1"/>
    <col min="3330" max="3330" width="30.5703125" style="114" customWidth="1"/>
    <col min="3331" max="3331" width="20.5703125" style="114" customWidth="1"/>
    <col min="3332" max="3332" width="26.140625" style="114" customWidth="1"/>
    <col min="3333" max="3333" width="19.7109375" style="114" customWidth="1"/>
    <col min="3334" max="3335" width="17.5703125" style="114" customWidth="1"/>
    <col min="3336" max="3336" width="0" style="114" hidden="1" customWidth="1"/>
    <col min="3337" max="3581" width="11.42578125" style="114"/>
    <col min="3582" max="3582" width="2.85546875" style="114" customWidth="1"/>
    <col min="3583" max="3583" width="87.140625" style="114" customWidth="1"/>
    <col min="3584" max="3584" width="22.140625" style="114" customWidth="1"/>
    <col min="3585" max="3585" width="5" style="114" customWidth="1"/>
    <col min="3586" max="3586" width="30.5703125" style="114" customWidth="1"/>
    <col min="3587" max="3587" width="20.5703125" style="114" customWidth="1"/>
    <col min="3588" max="3588" width="26.140625" style="114" customWidth="1"/>
    <col min="3589" max="3589" width="19.7109375" style="114" customWidth="1"/>
    <col min="3590" max="3591" width="17.5703125" style="114" customWidth="1"/>
    <col min="3592" max="3592" width="0" style="114" hidden="1" customWidth="1"/>
    <col min="3593" max="3837" width="11.42578125" style="114"/>
    <col min="3838" max="3838" width="2.85546875" style="114" customWidth="1"/>
    <col min="3839" max="3839" width="87.140625" style="114" customWidth="1"/>
    <col min="3840" max="3840" width="22.140625" style="114" customWidth="1"/>
    <col min="3841" max="3841" width="5" style="114" customWidth="1"/>
    <col min="3842" max="3842" width="30.5703125" style="114" customWidth="1"/>
    <col min="3843" max="3843" width="20.5703125" style="114" customWidth="1"/>
    <col min="3844" max="3844" width="26.140625" style="114" customWidth="1"/>
    <col min="3845" max="3845" width="19.7109375" style="114" customWidth="1"/>
    <col min="3846" max="3847" width="17.5703125" style="114" customWidth="1"/>
    <col min="3848" max="3848" width="0" style="114" hidden="1" customWidth="1"/>
    <col min="3849" max="4093" width="11.42578125" style="114"/>
    <col min="4094" max="4094" width="2.85546875" style="114" customWidth="1"/>
    <col min="4095" max="4095" width="87.140625" style="114" customWidth="1"/>
    <col min="4096" max="4096" width="22.140625" style="114" customWidth="1"/>
    <col min="4097" max="4097" width="5" style="114" customWidth="1"/>
    <col min="4098" max="4098" width="30.5703125" style="114" customWidth="1"/>
    <col min="4099" max="4099" width="20.5703125" style="114" customWidth="1"/>
    <col min="4100" max="4100" width="26.140625" style="114" customWidth="1"/>
    <col min="4101" max="4101" width="19.7109375" style="114" customWidth="1"/>
    <col min="4102" max="4103" width="17.5703125" style="114" customWidth="1"/>
    <col min="4104" max="4104" width="0" style="114" hidden="1" customWidth="1"/>
    <col min="4105" max="4349" width="11.42578125" style="114"/>
    <col min="4350" max="4350" width="2.85546875" style="114" customWidth="1"/>
    <col min="4351" max="4351" width="87.140625" style="114" customWidth="1"/>
    <col min="4352" max="4352" width="22.140625" style="114" customWidth="1"/>
    <col min="4353" max="4353" width="5" style="114" customWidth="1"/>
    <col min="4354" max="4354" width="30.5703125" style="114" customWidth="1"/>
    <col min="4355" max="4355" width="20.5703125" style="114" customWidth="1"/>
    <col min="4356" max="4356" width="26.140625" style="114" customWidth="1"/>
    <col min="4357" max="4357" width="19.7109375" style="114" customWidth="1"/>
    <col min="4358" max="4359" width="17.5703125" style="114" customWidth="1"/>
    <col min="4360" max="4360" width="0" style="114" hidden="1" customWidth="1"/>
    <col min="4361" max="4605" width="11.42578125" style="114"/>
    <col min="4606" max="4606" width="2.85546875" style="114" customWidth="1"/>
    <col min="4607" max="4607" width="87.140625" style="114" customWidth="1"/>
    <col min="4608" max="4608" width="22.140625" style="114" customWidth="1"/>
    <col min="4609" max="4609" width="5" style="114" customWidth="1"/>
    <col min="4610" max="4610" width="30.5703125" style="114" customWidth="1"/>
    <col min="4611" max="4611" width="20.5703125" style="114" customWidth="1"/>
    <col min="4612" max="4612" width="26.140625" style="114" customWidth="1"/>
    <col min="4613" max="4613" width="19.7109375" style="114" customWidth="1"/>
    <col min="4614" max="4615" width="17.5703125" style="114" customWidth="1"/>
    <col min="4616" max="4616" width="0" style="114" hidden="1" customWidth="1"/>
    <col min="4617" max="4861" width="11.42578125" style="114"/>
    <col min="4862" max="4862" width="2.85546875" style="114" customWidth="1"/>
    <col min="4863" max="4863" width="87.140625" style="114" customWidth="1"/>
    <col min="4864" max="4864" width="22.140625" style="114" customWidth="1"/>
    <col min="4865" max="4865" width="5" style="114" customWidth="1"/>
    <col min="4866" max="4866" width="30.5703125" style="114" customWidth="1"/>
    <col min="4867" max="4867" width="20.5703125" style="114" customWidth="1"/>
    <col min="4868" max="4868" width="26.140625" style="114" customWidth="1"/>
    <col min="4869" max="4869" width="19.7109375" style="114" customWidth="1"/>
    <col min="4870" max="4871" width="17.5703125" style="114" customWidth="1"/>
    <col min="4872" max="4872" width="0" style="114" hidden="1" customWidth="1"/>
    <col min="4873" max="5117" width="11.42578125" style="114"/>
    <col min="5118" max="5118" width="2.85546875" style="114" customWidth="1"/>
    <col min="5119" max="5119" width="87.140625" style="114" customWidth="1"/>
    <col min="5120" max="5120" width="22.140625" style="114" customWidth="1"/>
    <col min="5121" max="5121" width="5" style="114" customWidth="1"/>
    <col min="5122" max="5122" width="30.5703125" style="114" customWidth="1"/>
    <col min="5123" max="5123" width="20.5703125" style="114" customWidth="1"/>
    <col min="5124" max="5124" width="26.140625" style="114" customWidth="1"/>
    <col min="5125" max="5125" width="19.7109375" style="114" customWidth="1"/>
    <col min="5126" max="5127" width="17.5703125" style="114" customWidth="1"/>
    <col min="5128" max="5128" width="0" style="114" hidden="1" customWidth="1"/>
    <col min="5129" max="5373" width="11.42578125" style="114"/>
    <col min="5374" max="5374" width="2.85546875" style="114" customWidth="1"/>
    <col min="5375" max="5375" width="87.140625" style="114" customWidth="1"/>
    <col min="5376" max="5376" width="22.140625" style="114" customWidth="1"/>
    <col min="5377" max="5377" width="5" style="114" customWidth="1"/>
    <col min="5378" max="5378" width="30.5703125" style="114" customWidth="1"/>
    <col min="5379" max="5379" width="20.5703125" style="114" customWidth="1"/>
    <col min="5380" max="5380" width="26.140625" style="114" customWidth="1"/>
    <col min="5381" max="5381" width="19.7109375" style="114" customWidth="1"/>
    <col min="5382" max="5383" width="17.5703125" style="114" customWidth="1"/>
    <col min="5384" max="5384" width="0" style="114" hidden="1" customWidth="1"/>
    <col min="5385" max="5629" width="11.42578125" style="114"/>
    <col min="5630" max="5630" width="2.85546875" style="114" customWidth="1"/>
    <col min="5631" max="5631" width="87.140625" style="114" customWidth="1"/>
    <col min="5632" max="5632" width="22.140625" style="114" customWidth="1"/>
    <col min="5633" max="5633" width="5" style="114" customWidth="1"/>
    <col min="5634" max="5634" width="30.5703125" style="114" customWidth="1"/>
    <col min="5635" max="5635" width="20.5703125" style="114" customWidth="1"/>
    <col min="5636" max="5636" width="26.140625" style="114" customWidth="1"/>
    <col min="5637" max="5637" width="19.7109375" style="114" customWidth="1"/>
    <col min="5638" max="5639" width="17.5703125" style="114" customWidth="1"/>
    <col min="5640" max="5640" width="0" style="114" hidden="1" customWidth="1"/>
    <col min="5641" max="5885" width="11.42578125" style="114"/>
    <col min="5886" max="5886" width="2.85546875" style="114" customWidth="1"/>
    <col min="5887" max="5887" width="87.140625" style="114" customWidth="1"/>
    <col min="5888" max="5888" width="22.140625" style="114" customWidth="1"/>
    <col min="5889" max="5889" width="5" style="114" customWidth="1"/>
    <col min="5890" max="5890" width="30.5703125" style="114" customWidth="1"/>
    <col min="5891" max="5891" width="20.5703125" style="114" customWidth="1"/>
    <col min="5892" max="5892" width="26.140625" style="114" customWidth="1"/>
    <col min="5893" max="5893" width="19.7109375" style="114" customWidth="1"/>
    <col min="5894" max="5895" width="17.5703125" style="114" customWidth="1"/>
    <col min="5896" max="5896" width="0" style="114" hidden="1" customWidth="1"/>
    <col min="5897" max="6141" width="11.42578125" style="114"/>
    <col min="6142" max="6142" width="2.85546875" style="114" customWidth="1"/>
    <col min="6143" max="6143" width="87.140625" style="114" customWidth="1"/>
    <col min="6144" max="6144" width="22.140625" style="114" customWidth="1"/>
    <col min="6145" max="6145" width="5" style="114" customWidth="1"/>
    <col min="6146" max="6146" width="30.5703125" style="114" customWidth="1"/>
    <col min="6147" max="6147" width="20.5703125" style="114" customWidth="1"/>
    <col min="6148" max="6148" width="26.140625" style="114" customWidth="1"/>
    <col min="6149" max="6149" width="19.7109375" style="114" customWidth="1"/>
    <col min="6150" max="6151" width="17.5703125" style="114" customWidth="1"/>
    <col min="6152" max="6152" width="0" style="114" hidden="1" customWidth="1"/>
    <col min="6153" max="6397" width="11.42578125" style="114"/>
    <col min="6398" max="6398" width="2.85546875" style="114" customWidth="1"/>
    <col min="6399" max="6399" width="87.140625" style="114" customWidth="1"/>
    <col min="6400" max="6400" width="22.140625" style="114" customWidth="1"/>
    <col min="6401" max="6401" width="5" style="114" customWidth="1"/>
    <col min="6402" max="6402" width="30.5703125" style="114" customWidth="1"/>
    <col min="6403" max="6403" width="20.5703125" style="114" customWidth="1"/>
    <col min="6404" max="6404" width="26.140625" style="114" customWidth="1"/>
    <col min="6405" max="6405" width="19.7109375" style="114" customWidth="1"/>
    <col min="6406" max="6407" width="17.5703125" style="114" customWidth="1"/>
    <col min="6408" max="6408" width="0" style="114" hidden="1" customWidth="1"/>
    <col min="6409" max="6653" width="11.42578125" style="114"/>
    <col min="6654" max="6654" width="2.85546875" style="114" customWidth="1"/>
    <col min="6655" max="6655" width="87.140625" style="114" customWidth="1"/>
    <col min="6656" max="6656" width="22.140625" style="114" customWidth="1"/>
    <col min="6657" max="6657" width="5" style="114" customWidth="1"/>
    <col min="6658" max="6658" width="30.5703125" style="114" customWidth="1"/>
    <col min="6659" max="6659" width="20.5703125" style="114" customWidth="1"/>
    <col min="6660" max="6660" width="26.140625" style="114" customWidth="1"/>
    <col min="6661" max="6661" width="19.7109375" style="114" customWidth="1"/>
    <col min="6662" max="6663" width="17.5703125" style="114" customWidth="1"/>
    <col min="6664" max="6664" width="0" style="114" hidden="1" customWidth="1"/>
    <col min="6665" max="6909" width="11.42578125" style="114"/>
    <col min="6910" max="6910" width="2.85546875" style="114" customWidth="1"/>
    <col min="6911" max="6911" width="87.140625" style="114" customWidth="1"/>
    <col min="6912" max="6912" width="22.140625" style="114" customWidth="1"/>
    <col min="6913" max="6913" width="5" style="114" customWidth="1"/>
    <col min="6914" max="6914" width="30.5703125" style="114" customWidth="1"/>
    <col min="6915" max="6915" width="20.5703125" style="114" customWidth="1"/>
    <col min="6916" max="6916" width="26.140625" style="114" customWidth="1"/>
    <col min="6917" max="6917" width="19.7109375" style="114" customWidth="1"/>
    <col min="6918" max="6919" width="17.5703125" style="114" customWidth="1"/>
    <col min="6920" max="6920" width="0" style="114" hidden="1" customWidth="1"/>
    <col min="6921" max="7165" width="11.42578125" style="114"/>
    <col min="7166" max="7166" width="2.85546875" style="114" customWidth="1"/>
    <col min="7167" max="7167" width="87.140625" style="114" customWidth="1"/>
    <col min="7168" max="7168" width="22.140625" style="114" customWidth="1"/>
    <col min="7169" max="7169" width="5" style="114" customWidth="1"/>
    <col min="7170" max="7170" width="30.5703125" style="114" customWidth="1"/>
    <col min="7171" max="7171" width="20.5703125" style="114" customWidth="1"/>
    <col min="7172" max="7172" width="26.140625" style="114" customWidth="1"/>
    <col min="7173" max="7173" width="19.7109375" style="114" customWidth="1"/>
    <col min="7174" max="7175" width="17.5703125" style="114" customWidth="1"/>
    <col min="7176" max="7176" width="0" style="114" hidden="1" customWidth="1"/>
    <col min="7177" max="7421" width="11.42578125" style="114"/>
    <col min="7422" max="7422" width="2.85546875" style="114" customWidth="1"/>
    <col min="7423" max="7423" width="87.140625" style="114" customWidth="1"/>
    <col min="7424" max="7424" width="22.140625" style="114" customWidth="1"/>
    <col min="7425" max="7425" width="5" style="114" customWidth="1"/>
    <col min="7426" max="7426" width="30.5703125" style="114" customWidth="1"/>
    <col min="7427" max="7427" width="20.5703125" style="114" customWidth="1"/>
    <col min="7428" max="7428" width="26.140625" style="114" customWidth="1"/>
    <col min="7429" max="7429" width="19.7109375" style="114" customWidth="1"/>
    <col min="7430" max="7431" width="17.5703125" style="114" customWidth="1"/>
    <col min="7432" max="7432" width="0" style="114" hidden="1" customWidth="1"/>
    <col min="7433" max="7677" width="11.42578125" style="114"/>
    <col min="7678" max="7678" width="2.85546875" style="114" customWidth="1"/>
    <col min="7679" max="7679" width="87.140625" style="114" customWidth="1"/>
    <col min="7680" max="7680" width="22.140625" style="114" customWidth="1"/>
    <col min="7681" max="7681" width="5" style="114" customWidth="1"/>
    <col min="7682" max="7682" width="30.5703125" style="114" customWidth="1"/>
    <col min="7683" max="7683" width="20.5703125" style="114" customWidth="1"/>
    <col min="7684" max="7684" width="26.140625" style="114" customWidth="1"/>
    <col min="7685" max="7685" width="19.7109375" style="114" customWidth="1"/>
    <col min="7686" max="7687" width="17.5703125" style="114" customWidth="1"/>
    <col min="7688" max="7688" width="0" style="114" hidden="1" customWidth="1"/>
    <col min="7689" max="7933" width="11.42578125" style="114"/>
    <col min="7934" max="7934" width="2.85546875" style="114" customWidth="1"/>
    <col min="7935" max="7935" width="87.140625" style="114" customWidth="1"/>
    <col min="7936" max="7936" width="22.140625" style="114" customWidth="1"/>
    <col min="7937" max="7937" width="5" style="114" customWidth="1"/>
    <col min="7938" max="7938" width="30.5703125" style="114" customWidth="1"/>
    <col min="7939" max="7939" width="20.5703125" style="114" customWidth="1"/>
    <col min="7940" max="7940" width="26.140625" style="114" customWidth="1"/>
    <col min="7941" max="7941" width="19.7109375" style="114" customWidth="1"/>
    <col min="7942" max="7943" width="17.5703125" style="114" customWidth="1"/>
    <col min="7944" max="7944" width="0" style="114" hidden="1" customWidth="1"/>
    <col min="7945" max="8189" width="11.42578125" style="114"/>
    <col min="8190" max="8190" width="2.85546875" style="114" customWidth="1"/>
    <col min="8191" max="8191" width="87.140625" style="114" customWidth="1"/>
    <col min="8192" max="8192" width="22.140625" style="114" customWidth="1"/>
    <col min="8193" max="8193" width="5" style="114" customWidth="1"/>
    <col min="8194" max="8194" width="30.5703125" style="114" customWidth="1"/>
    <col min="8195" max="8195" width="20.5703125" style="114" customWidth="1"/>
    <col min="8196" max="8196" width="26.140625" style="114" customWidth="1"/>
    <col min="8197" max="8197" width="19.7109375" style="114" customWidth="1"/>
    <col min="8198" max="8199" width="17.5703125" style="114" customWidth="1"/>
    <col min="8200" max="8200" width="0" style="114" hidden="1" customWidth="1"/>
    <col min="8201" max="8445" width="11.42578125" style="114"/>
    <col min="8446" max="8446" width="2.85546875" style="114" customWidth="1"/>
    <col min="8447" max="8447" width="87.140625" style="114" customWidth="1"/>
    <col min="8448" max="8448" width="22.140625" style="114" customWidth="1"/>
    <col min="8449" max="8449" width="5" style="114" customWidth="1"/>
    <col min="8450" max="8450" width="30.5703125" style="114" customWidth="1"/>
    <col min="8451" max="8451" width="20.5703125" style="114" customWidth="1"/>
    <col min="8452" max="8452" width="26.140625" style="114" customWidth="1"/>
    <col min="8453" max="8453" width="19.7109375" style="114" customWidth="1"/>
    <col min="8454" max="8455" width="17.5703125" style="114" customWidth="1"/>
    <col min="8456" max="8456" width="0" style="114" hidden="1" customWidth="1"/>
    <col min="8457" max="8701" width="11.42578125" style="114"/>
    <col min="8702" max="8702" width="2.85546875" style="114" customWidth="1"/>
    <col min="8703" max="8703" width="87.140625" style="114" customWidth="1"/>
    <col min="8704" max="8704" width="22.140625" style="114" customWidth="1"/>
    <col min="8705" max="8705" width="5" style="114" customWidth="1"/>
    <col min="8706" max="8706" width="30.5703125" style="114" customWidth="1"/>
    <col min="8707" max="8707" width="20.5703125" style="114" customWidth="1"/>
    <col min="8708" max="8708" width="26.140625" style="114" customWidth="1"/>
    <col min="8709" max="8709" width="19.7109375" style="114" customWidth="1"/>
    <col min="8710" max="8711" width="17.5703125" style="114" customWidth="1"/>
    <col min="8712" max="8712" width="0" style="114" hidden="1" customWidth="1"/>
    <col min="8713" max="8957" width="11.42578125" style="114"/>
    <col min="8958" max="8958" width="2.85546875" style="114" customWidth="1"/>
    <col min="8959" max="8959" width="87.140625" style="114" customWidth="1"/>
    <col min="8960" max="8960" width="22.140625" style="114" customWidth="1"/>
    <col min="8961" max="8961" width="5" style="114" customWidth="1"/>
    <col min="8962" max="8962" width="30.5703125" style="114" customWidth="1"/>
    <col min="8963" max="8963" width="20.5703125" style="114" customWidth="1"/>
    <col min="8964" max="8964" width="26.140625" style="114" customWidth="1"/>
    <col min="8965" max="8965" width="19.7109375" style="114" customWidth="1"/>
    <col min="8966" max="8967" width="17.5703125" style="114" customWidth="1"/>
    <col min="8968" max="8968" width="0" style="114" hidden="1" customWidth="1"/>
    <col min="8969" max="9213" width="11.42578125" style="114"/>
    <col min="9214" max="9214" width="2.85546875" style="114" customWidth="1"/>
    <col min="9215" max="9215" width="87.140625" style="114" customWidth="1"/>
    <col min="9216" max="9216" width="22.140625" style="114" customWidth="1"/>
    <col min="9217" max="9217" width="5" style="114" customWidth="1"/>
    <col min="9218" max="9218" width="30.5703125" style="114" customWidth="1"/>
    <col min="9219" max="9219" width="20.5703125" style="114" customWidth="1"/>
    <col min="9220" max="9220" width="26.140625" style="114" customWidth="1"/>
    <col min="9221" max="9221" width="19.7109375" style="114" customWidth="1"/>
    <col min="9222" max="9223" width="17.5703125" style="114" customWidth="1"/>
    <col min="9224" max="9224" width="0" style="114" hidden="1" customWidth="1"/>
    <col min="9225" max="9469" width="11.42578125" style="114"/>
    <col min="9470" max="9470" width="2.85546875" style="114" customWidth="1"/>
    <col min="9471" max="9471" width="87.140625" style="114" customWidth="1"/>
    <col min="9472" max="9472" width="22.140625" style="114" customWidth="1"/>
    <col min="9473" max="9473" width="5" style="114" customWidth="1"/>
    <col min="9474" max="9474" width="30.5703125" style="114" customWidth="1"/>
    <col min="9475" max="9475" width="20.5703125" style="114" customWidth="1"/>
    <col min="9476" max="9476" width="26.140625" style="114" customWidth="1"/>
    <col min="9477" max="9477" width="19.7109375" style="114" customWidth="1"/>
    <col min="9478" max="9479" width="17.5703125" style="114" customWidth="1"/>
    <col min="9480" max="9480" width="0" style="114" hidden="1" customWidth="1"/>
    <col min="9481" max="9725" width="11.42578125" style="114"/>
    <col min="9726" max="9726" width="2.85546875" style="114" customWidth="1"/>
    <col min="9727" max="9727" width="87.140625" style="114" customWidth="1"/>
    <col min="9728" max="9728" width="22.140625" style="114" customWidth="1"/>
    <col min="9729" max="9729" width="5" style="114" customWidth="1"/>
    <col min="9730" max="9730" width="30.5703125" style="114" customWidth="1"/>
    <col min="9731" max="9731" width="20.5703125" style="114" customWidth="1"/>
    <col min="9732" max="9732" width="26.140625" style="114" customWidth="1"/>
    <col min="9733" max="9733" width="19.7109375" style="114" customWidth="1"/>
    <col min="9734" max="9735" width="17.5703125" style="114" customWidth="1"/>
    <col min="9736" max="9736" width="0" style="114" hidden="1" customWidth="1"/>
    <col min="9737" max="9981" width="11.42578125" style="114"/>
    <col min="9982" max="9982" width="2.85546875" style="114" customWidth="1"/>
    <col min="9983" max="9983" width="87.140625" style="114" customWidth="1"/>
    <col min="9984" max="9984" width="22.140625" style="114" customWidth="1"/>
    <col min="9985" max="9985" width="5" style="114" customWidth="1"/>
    <col min="9986" max="9986" width="30.5703125" style="114" customWidth="1"/>
    <col min="9987" max="9987" width="20.5703125" style="114" customWidth="1"/>
    <col min="9988" max="9988" width="26.140625" style="114" customWidth="1"/>
    <col min="9989" max="9989" width="19.7109375" style="114" customWidth="1"/>
    <col min="9990" max="9991" width="17.5703125" style="114" customWidth="1"/>
    <col min="9992" max="9992" width="0" style="114" hidden="1" customWidth="1"/>
    <col min="9993" max="10237" width="11.42578125" style="114"/>
    <col min="10238" max="10238" width="2.85546875" style="114" customWidth="1"/>
    <col min="10239" max="10239" width="87.140625" style="114" customWidth="1"/>
    <col min="10240" max="10240" width="22.140625" style="114" customWidth="1"/>
    <col min="10241" max="10241" width="5" style="114" customWidth="1"/>
    <col min="10242" max="10242" width="30.5703125" style="114" customWidth="1"/>
    <col min="10243" max="10243" width="20.5703125" style="114" customWidth="1"/>
    <col min="10244" max="10244" width="26.140625" style="114" customWidth="1"/>
    <col min="10245" max="10245" width="19.7109375" style="114" customWidth="1"/>
    <col min="10246" max="10247" width="17.5703125" style="114" customWidth="1"/>
    <col min="10248" max="10248" width="0" style="114" hidden="1" customWidth="1"/>
    <col min="10249" max="10493" width="11.42578125" style="114"/>
    <col min="10494" max="10494" width="2.85546875" style="114" customWidth="1"/>
    <col min="10495" max="10495" width="87.140625" style="114" customWidth="1"/>
    <col min="10496" max="10496" width="22.140625" style="114" customWidth="1"/>
    <col min="10497" max="10497" width="5" style="114" customWidth="1"/>
    <col min="10498" max="10498" width="30.5703125" style="114" customWidth="1"/>
    <col min="10499" max="10499" width="20.5703125" style="114" customWidth="1"/>
    <col min="10500" max="10500" width="26.140625" style="114" customWidth="1"/>
    <col min="10501" max="10501" width="19.7109375" style="114" customWidth="1"/>
    <col min="10502" max="10503" width="17.5703125" style="114" customWidth="1"/>
    <col min="10504" max="10504" width="0" style="114" hidden="1" customWidth="1"/>
    <col min="10505" max="10749" width="11.42578125" style="114"/>
    <col min="10750" max="10750" width="2.85546875" style="114" customWidth="1"/>
    <col min="10751" max="10751" width="87.140625" style="114" customWidth="1"/>
    <col min="10752" max="10752" width="22.140625" style="114" customWidth="1"/>
    <col min="10753" max="10753" width="5" style="114" customWidth="1"/>
    <col min="10754" max="10754" width="30.5703125" style="114" customWidth="1"/>
    <col min="10755" max="10755" width="20.5703125" style="114" customWidth="1"/>
    <col min="10756" max="10756" width="26.140625" style="114" customWidth="1"/>
    <col min="10757" max="10757" width="19.7109375" style="114" customWidth="1"/>
    <col min="10758" max="10759" width="17.5703125" style="114" customWidth="1"/>
    <col min="10760" max="10760" width="0" style="114" hidden="1" customWidth="1"/>
    <col min="10761" max="11005" width="11.42578125" style="114"/>
    <col min="11006" max="11006" width="2.85546875" style="114" customWidth="1"/>
    <col min="11007" max="11007" width="87.140625" style="114" customWidth="1"/>
    <col min="11008" max="11008" width="22.140625" style="114" customWidth="1"/>
    <col min="11009" max="11009" width="5" style="114" customWidth="1"/>
    <col min="11010" max="11010" width="30.5703125" style="114" customWidth="1"/>
    <col min="11011" max="11011" width="20.5703125" style="114" customWidth="1"/>
    <col min="11012" max="11012" width="26.140625" style="114" customWidth="1"/>
    <col min="11013" max="11013" width="19.7109375" style="114" customWidth="1"/>
    <col min="11014" max="11015" width="17.5703125" style="114" customWidth="1"/>
    <col min="11016" max="11016" width="0" style="114" hidden="1" customWidth="1"/>
    <col min="11017" max="11261" width="11.42578125" style="114"/>
    <col min="11262" max="11262" width="2.85546875" style="114" customWidth="1"/>
    <col min="11263" max="11263" width="87.140625" style="114" customWidth="1"/>
    <col min="11264" max="11264" width="22.140625" style="114" customWidth="1"/>
    <col min="11265" max="11265" width="5" style="114" customWidth="1"/>
    <col min="11266" max="11266" width="30.5703125" style="114" customWidth="1"/>
    <col min="11267" max="11267" width="20.5703125" style="114" customWidth="1"/>
    <col min="11268" max="11268" width="26.140625" style="114" customWidth="1"/>
    <col min="11269" max="11269" width="19.7109375" style="114" customWidth="1"/>
    <col min="11270" max="11271" width="17.5703125" style="114" customWidth="1"/>
    <col min="11272" max="11272" width="0" style="114" hidden="1" customWidth="1"/>
    <col min="11273" max="11517" width="11.42578125" style="114"/>
    <col min="11518" max="11518" width="2.85546875" style="114" customWidth="1"/>
    <col min="11519" max="11519" width="87.140625" style="114" customWidth="1"/>
    <col min="11520" max="11520" width="22.140625" style="114" customWidth="1"/>
    <col min="11521" max="11521" width="5" style="114" customWidth="1"/>
    <col min="11522" max="11522" width="30.5703125" style="114" customWidth="1"/>
    <col min="11523" max="11523" width="20.5703125" style="114" customWidth="1"/>
    <col min="11524" max="11524" width="26.140625" style="114" customWidth="1"/>
    <col min="11525" max="11525" width="19.7109375" style="114" customWidth="1"/>
    <col min="11526" max="11527" width="17.5703125" style="114" customWidth="1"/>
    <col min="11528" max="11528" width="0" style="114" hidden="1" customWidth="1"/>
    <col min="11529" max="11773" width="11.42578125" style="114"/>
    <col min="11774" max="11774" width="2.85546875" style="114" customWidth="1"/>
    <col min="11775" max="11775" width="87.140625" style="114" customWidth="1"/>
    <col min="11776" max="11776" width="22.140625" style="114" customWidth="1"/>
    <col min="11777" max="11777" width="5" style="114" customWidth="1"/>
    <col min="11778" max="11778" width="30.5703125" style="114" customWidth="1"/>
    <col min="11779" max="11779" width="20.5703125" style="114" customWidth="1"/>
    <col min="11780" max="11780" width="26.140625" style="114" customWidth="1"/>
    <col min="11781" max="11781" width="19.7109375" style="114" customWidth="1"/>
    <col min="11782" max="11783" width="17.5703125" style="114" customWidth="1"/>
    <col min="11784" max="11784" width="0" style="114" hidden="1" customWidth="1"/>
    <col min="11785" max="12029" width="11.42578125" style="114"/>
    <col min="12030" max="12030" width="2.85546875" style="114" customWidth="1"/>
    <col min="12031" max="12031" width="87.140625" style="114" customWidth="1"/>
    <col min="12032" max="12032" width="22.140625" style="114" customWidth="1"/>
    <col min="12033" max="12033" width="5" style="114" customWidth="1"/>
    <col min="12034" max="12034" width="30.5703125" style="114" customWidth="1"/>
    <col min="12035" max="12035" width="20.5703125" style="114" customWidth="1"/>
    <col min="12036" max="12036" width="26.140625" style="114" customWidth="1"/>
    <col min="12037" max="12037" width="19.7109375" style="114" customWidth="1"/>
    <col min="12038" max="12039" width="17.5703125" style="114" customWidth="1"/>
    <col min="12040" max="12040" width="0" style="114" hidden="1" customWidth="1"/>
    <col min="12041" max="12285" width="11.42578125" style="114"/>
    <col min="12286" max="12286" width="2.85546875" style="114" customWidth="1"/>
    <col min="12287" max="12287" width="87.140625" style="114" customWidth="1"/>
    <col min="12288" max="12288" width="22.140625" style="114" customWidth="1"/>
    <col min="12289" max="12289" width="5" style="114" customWidth="1"/>
    <col min="12290" max="12290" width="30.5703125" style="114" customWidth="1"/>
    <col min="12291" max="12291" width="20.5703125" style="114" customWidth="1"/>
    <col min="12292" max="12292" width="26.140625" style="114" customWidth="1"/>
    <col min="12293" max="12293" width="19.7109375" style="114" customWidth="1"/>
    <col min="12294" max="12295" width="17.5703125" style="114" customWidth="1"/>
    <col min="12296" max="12296" width="0" style="114" hidden="1" customWidth="1"/>
    <col min="12297" max="12541" width="11.42578125" style="114"/>
    <col min="12542" max="12542" width="2.85546875" style="114" customWidth="1"/>
    <col min="12543" max="12543" width="87.140625" style="114" customWidth="1"/>
    <col min="12544" max="12544" width="22.140625" style="114" customWidth="1"/>
    <col min="12545" max="12545" width="5" style="114" customWidth="1"/>
    <col min="12546" max="12546" width="30.5703125" style="114" customWidth="1"/>
    <col min="12547" max="12547" width="20.5703125" style="114" customWidth="1"/>
    <col min="12548" max="12548" width="26.140625" style="114" customWidth="1"/>
    <col min="12549" max="12549" width="19.7109375" style="114" customWidth="1"/>
    <col min="12550" max="12551" width="17.5703125" style="114" customWidth="1"/>
    <col min="12552" max="12552" width="0" style="114" hidden="1" customWidth="1"/>
    <col min="12553" max="12797" width="11.42578125" style="114"/>
    <col min="12798" max="12798" width="2.85546875" style="114" customWidth="1"/>
    <col min="12799" max="12799" width="87.140625" style="114" customWidth="1"/>
    <col min="12800" max="12800" width="22.140625" style="114" customWidth="1"/>
    <col min="12801" max="12801" width="5" style="114" customWidth="1"/>
    <col min="12802" max="12802" width="30.5703125" style="114" customWidth="1"/>
    <col min="12803" max="12803" width="20.5703125" style="114" customWidth="1"/>
    <col min="12804" max="12804" width="26.140625" style="114" customWidth="1"/>
    <col min="12805" max="12805" width="19.7109375" style="114" customWidth="1"/>
    <col min="12806" max="12807" width="17.5703125" style="114" customWidth="1"/>
    <col min="12808" max="12808" width="0" style="114" hidden="1" customWidth="1"/>
    <col min="12809" max="13053" width="11.42578125" style="114"/>
    <col min="13054" max="13054" width="2.85546875" style="114" customWidth="1"/>
    <col min="13055" max="13055" width="87.140625" style="114" customWidth="1"/>
    <col min="13056" max="13056" width="22.140625" style="114" customWidth="1"/>
    <col min="13057" max="13057" width="5" style="114" customWidth="1"/>
    <col min="13058" max="13058" width="30.5703125" style="114" customWidth="1"/>
    <col min="13059" max="13059" width="20.5703125" style="114" customWidth="1"/>
    <col min="13060" max="13060" width="26.140625" style="114" customWidth="1"/>
    <col min="13061" max="13061" width="19.7109375" style="114" customWidth="1"/>
    <col min="13062" max="13063" width="17.5703125" style="114" customWidth="1"/>
    <col min="13064" max="13064" width="0" style="114" hidden="1" customWidth="1"/>
    <col min="13065" max="13309" width="11.42578125" style="114"/>
    <col min="13310" max="13310" width="2.85546875" style="114" customWidth="1"/>
    <col min="13311" max="13311" width="87.140625" style="114" customWidth="1"/>
    <col min="13312" max="13312" width="22.140625" style="114" customWidth="1"/>
    <col min="13313" max="13313" width="5" style="114" customWidth="1"/>
    <col min="13314" max="13314" width="30.5703125" style="114" customWidth="1"/>
    <col min="13315" max="13315" width="20.5703125" style="114" customWidth="1"/>
    <col min="13316" max="13316" width="26.140625" style="114" customWidth="1"/>
    <col min="13317" max="13317" width="19.7109375" style="114" customWidth="1"/>
    <col min="13318" max="13319" width="17.5703125" style="114" customWidth="1"/>
    <col min="13320" max="13320" width="0" style="114" hidden="1" customWidth="1"/>
    <col min="13321" max="13565" width="11.42578125" style="114"/>
    <col min="13566" max="13566" width="2.85546875" style="114" customWidth="1"/>
    <col min="13567" max="13567" width="87.140625" style="114" customWidth="1"/>
    <col min="13568" max="13568" width="22.140625" style="114" customWidth="1"/>
    <col min="13569" max="13569" width="5" style="114" customWidth="1"/>
    <col min="13570" max="13570" width="30.5703125" style="114" customWidth="1"/>
    <col min="13571" max="13571" width="20.5703125" style="114" customWidth="1"/>
    <col min="13572" max="13572" width="26.140625" style="114" customWidth="1"/>
    <col min="13573" max="13573" width="19.7109375" style="114" customWidth="1"/>
    <col min="13574" max="13575" width="17.5703125" style="114" customWidth="1"/>
    <col min="13576" max="13576" width="0" style="114" hidden="1" customWidth="1"/>
    <col min="13577" max="13821" width="11.42578125" style="114"/>
    <col min="13822" max="13822" width="2.85546875" style="114" customWidth="1"/>
    <col min="13823" max="13823" width="87.140625" style="114" customWidth="1"/>
    <col min="13824" max="13824" width="22.140625" style="114" customWidth="1"/>
    <col min="13825" max="13825" width="5" style="114" customWidth="1"/>
    <col min="13826" max="13826" width="30.5703125" style="114" customWidth="1"/>
    <col min="13827" max="13827" width="20.5703125" style="114" customWidth="1"/>
    <col min="13828" max="13828" width="26.140625" style="114" customWidth="1"/>
    <col min="13829" max="13829" width="19.7109375" style="114" customWidth="1"/>
    <col min="13830" max="13831" width="17.5703125" style="114" customWidth="1"/>
    <col min="13832" max="13832" width="0" style="114" hidden="1" customWidth="1"/>
    <col min="13833" max="14077" width="11.42578125" style="114"/>
    <col min="14078" max="14078" width="2.85546875" style="114" customWidth="1"/>
    <col min="14079" max="14079" width="87.140625" style="114" customWidth="1"/>
    <col min="14080" max="14080" width="22.140625" style="114" customWidth="1"/>
    <col min="14081" max="14081" width="5" style="114" customWidth="1"/>
    <col min="14082" max="14082" width="30.5703125" style="114" customWidth="1"/>
    <col min="14083" max="14083" width="20.5703125" style="114" customWidth="1"/>
    <col min="14084" max="14084" width="26.140625" style="114" customWidth="1"/>
    <col min="14085" max="14085" width="19.7109375" style="114" customWidth="1"/>
    <col min="14086" max="14087" width="17.5703125" style="114" customWidth="1"/>
    <col min="14088" max="14088" width="0" style="114" hidden="1" customWidth="1"/>
    <col min="14089" max="14333" width="11.42578125" style="114"/>
    <col min="14334" max="14334" width="2.85546875" style="114" customWidth="1"/>
    <col min="14335" max="14335" width="87.140625" style="114" customWidth="1"/>
    <col min="14336" max="14336" width="22.140625" style="114" customWidth="1"/>
    <col min="14337" max="14337" width="5" style="114" customWidth="1"/>
    <col min="14338" max="14338" width="30.5703125" style="114" customWidth="1"/>
    <col min="14339" max="14339" width="20.5703125" style="114" customWidth="1"/>
    <col min="14340" max="14340" width="26.140625" style="114" customWidth="1"/>
    <col min="14341" max="14341" width="19.7109375" style="114" customWidth="1"/>
    <col min="14342" max="14343" width="17.5703125" style="114" customWidth="1"/>
    <col min="14344" max="14344" width="0" style="114" hidden="1" customWidth="1"/>
    <col min="14345" max="14589" width="11.42578125" style="114"/>
    <col min="14590" max="14590" width="2.85546875" style="114" customWidth="1"/>
    <col min="14591" max="14591" width="87.140625" style="114" customWidth="1"/>
    <col min="14592" max="14592" width="22.140625" style="114" customWidth="1"/>
    <col min="14593" max="14593" width="5" style="114" customWidth="1"/>
    <col min="14594" max="14594" width="30.5703125" style="114" customWidth="1"/>
    <col min="14595" max="14595" width="20.5703125" style="114" customWidth="1"/>
    <col min="14596" max="14596" width="26.140625" style="114" customWidth="1"/>
    <col min="14597" max="14597" width="19.7109375" style="114" customWidth="1"/>
    <col min="14598" max="14599" width="17.5703125" style="114" customWidth="1"/>
    <col min="14600" max="14600" width="0" style="114" hidden="1" customWidth="1"/>
    <col min="14601" max="14845" width="11.42578125" style="114"/>
    <col min="14846" max="14846" width="2.85546875" style="114" customWidth="1"/>
    <col min="14847" max="14847" width="87.140625" style="114" customWidth="1"/>
    <col min="14848" max="14848" width="22.140625" style="114" customWidth="1"/>
    <col min="14849" max="14849" width="5" style="114" customWidth="1"/>
    <col min="14850" max="14850" width="30.5703125" style="114" customWidth="1"/>
    <col min="14851" max="14851" width="20.5703125" style="114" customWidth="1"/>
    <col min="14852" max="14852" width="26.140625" style="114" customWidth="1"/>
    <col min="14853" max="14853" width="19.7109375" style="114" customWidth="1"/>
    <col min="14854" max="14855" width="17.5703125" style="114" customWidth="1"/>
    <col min="14856" max="14856" width="0" style="114" hidden="1" customWidth="1"/>
    <col min="14857" max="15101" width="11.42578125" style="114"/>
    <col min="15102" max="15102" width="2.85546875" style="114" customWidth="1"/>
    <col min="15103" max="15103" width="87.140625" style="114" customWidth="1"/>
    <col min="15104" max="15104" width="22.140625" style="114" customWidth="1"/>
    <col min="15105" max="15105" width="5" style="114" customWidth="1"/>
    <col min="15106" max="15106" width="30.5703125" style="114" customWidth="1"/>
    <col min="15107" max="15107" width="20.5703125" style="114" customWidth="1"/>
    <col min="15108" max="15108" width="26.140625" style="114" customWidth="1"/>
    <col min="15109" max="15109" width="19.7109375" style="114" customWidth="1"/>
    <col min="15110" max="15111" width="17.5703125" style="114" customWidth="1"/>
    <col min="15112" max="15112" width="0" style="114" hidden="1" customWidth="1"/>
    <col min="15113" max="15357" width="11.42578125" style="114"/>
    <col min="15358" max="15358" width="2.85546875" style="114" customWidth="1"/>
    <col min="15359" max="15359" width="87.140625" style="114" customWidth="1"/>
    <col min="15360" max="15360" width="22.140625" style="114" customWidth="1"/>
    <col min="15361" max="15361" width="5" style="114" customWidth="1"/>
    <col min="15362" max="15362" width="30.5703125" style="114" customWidth="1"/>
    <col min="15363" max="15363" width="20.5703125" style="114" customWidth="1"/>
    <col min="15364" max="15364" width="26.140625" style="114" customWidth="1"/>
    <col min="15365" max="15365" width="19.7109375" style="114" customWidth="1"/>
    <col min="15366" max="15367" width="17.5703125" style="114" customWidth="1"/>
    <col min="15368" max="15368" width="0" style="114" hidden="1" customWidth="1"/>
    <col min="15369" max="15613" width="11.42578125" style="114"/>
    <col min="15614" max="15614" width="2.85546875" style="114" customWidth="1"/>
    <col min="15615" max="15615" width="87.140625" style="114" customWidth="1"/>
    <col min="15616" max="15616" width="22.140625" style="114" customWidth="1"/>
    <col min="15617" max="15617" width="5" style="114" customWidth="1"/>
    <col min="15618" max="15618" width="30.5703125" style="114" customWidth="1"/>
    <col min="15619" max="15619" width="20.5703125" style="114" customWidth="1"/>
    <col min="15620" max="15620" width="26.140625" style="114" customWidth="1"/>
    <col min="15621" max="15621" width="19.7109375" style="114" customWidth="1"/>
    <col min="15622" max="15623" width="17.5703125" style="114" customWidth="1"/>
    <col min="15624" max="15624" width="0" style="114" hidden="1" customWidth="1"/>
    <col min="15625" max="15869" width="11.42578125" style="114"/>
    <col min="15870" max="15870" width="2.85546875" style="114" customWidth="1"/>
    <col min="15871" max="15871" width="87.140625" style="114" customWidth="1"/>
    <col min="15872" max="15872" width="22.140625" style="114" customWidth="1"/>
    <col min="15873" max="15873" width="5" style="114" customWidth="1"/>
    <col min="15874" max="15874" width="30.5703125" style="114" customWidth="1"/>
    <col min="15875" max="15875" width="20.5703125" style="114" customWidth="1"/>
    <col min="15876" max="15876" width="26.140625" style="114" customWidth="1"/>
    <col min="15877" max="15877" width="19.7109375" style="114" customWidth="1"/>
    <col min="15878" max="15879" width="17.5703125" style="114" customWidth="1"/>
    <col min="15880" max="15880" width="0" style="114" hidden="1" customWidth="1"/>
    <col min="15881" max="16125" width="11.42578125" style="114"/>
    <col min="16126" max="16126" width="2.85546875" style="114" customWidth="1"/>
    <col min="16127" max="16127" width="87.140625" style="114" customWidth="1"/>
    <col min="16128" max="16128" width="22.140625" style="114" customWidth="1"/>
    <col min="16129" max="16129" width="5" style="114" customWidth="1"/>
    <col min="16130" max="16130" width="30.5703125" style="114" customWidth="1"/>
    <col min="16131" max="16131" width="20.5703125" style="114" customWidth="1"/>
    <col min="16132" max="16132" width="26.140625" style="114" customWidth="1"/>
    <col min="16133" max="16133" width="19.7109375" style="114" customWidth="1"/>
    <col min="16134" max="16135" width="17.5703125" style="114" customWidth="1"/>
    <col min="16136" max="16136" width="0" style="114" hidden="1" customWidth="1"/>
    <col min="16137" max="16384" width="11.42578125" style="114"/>
  </cols>
  <sheetData>
    <row r="1" spans="2:8" ht="14.25" customHeight="1" thickBot="1"/>
    <row r="2" spans="2:8" ht="15.95" customHeight="1" thickBot="1">
      <c r="B2" s="664" t="s">
        <v>334</v>
      </c>
      <c r="C2" s="664"/>
      <c r="D2" s="664"/>
      <c r="E2" s="664"/>
      <c r="F2" s="664"/>
    </row>
    <row r="3" spans="2:8" ht="15.95" customHeight="1" thickBot="1">
      <c r="B3" s="115" t="s">
        <v>336</v>
      </c>
      <c r="C3" s="1"/>
      <c r="D3" s="116"/>
      <c r="E3" s="116"/>
      <c r="F3" s="117"/>
    </row>
    <row r="4" spans="2:8" ht="15.95" customHeight="1" thickBot="1">
      <c r="B4" s="118" t="s">
        <v>337</v>
      </c>
      <c r="C4" s="118" t="s">
        <v>338</v>
      </c>
      <c r="D4" s="118" t="s">
        <v>382</v>
      </c>
      <c r="E4" s="118" t="s">
        <v>339</v>
      </c>
      <c r="F4" s="118" t="s">
        <v>340</v>
      </c>
    </row>
    <row r="5" spans="2:8" ht="15.95" customHeight="1">
      <c r="B5" s="119" t="s">
        <v>341</v>
      </c>
      <c r="C5" s="120">
        <f>SUM(Áreas!D3:D21)</f>
        <v>4551.26</v>
      </c>
      <c r="D5" s="120">
        <f>SUM(Áreas!D22:D28)</f>
        <v>2842.88</v>
      </c>
      <c r="E5" s="120">
        <v>0</v>
      </c>
      <c r="F5" s="187">
        <f>SUM(C5:E5)</f>
        <v>7394.14</v>
      </c>
    </row>
    <row r="6" spans="2:8" ht="15.95" customHeight="1">
      <c r="B6" s="121" t="s">
        <v>342</v>
      </c>
      <c r="C6" s="122">
        <f>SUM(Áreas!E3:E21)</f>
        <v>6612.630000000001</v>
      </c>
      <c r="D6" s="122">
        <f>SUM(Áreas!E22:E28)</f>
        <v>928.75000000000011</v>
      </c>
      <c r="E6" s="122">
        <v>0</v>
      </c>
      <c r="F6" s="188">
        <f>SUM(C6:E6)</f>
        <v>7541.380000000001</v>
      </c>
    </row>
    <row r="7" spans="2:8" ht="15.95" customHeight="1">
      <c r="B7" s="121" t="s">
        <v>343</v>
      </c>
      <c r="C7" s="122"/>
      <c r="D7" s="122">
        <v>0</v>
      </c>
      <c r="E7" s="122">
        <v>0</v>
      </c>
      <c r="F7" s="123">
        <f>SUM(C7:E7)</f>
        <v>0</v>
      </c>
    </row>
    <row r="8" spans="2:8" ht="15.95" customHeight="1">
      <c r="B8" s="121" t="s">
        <v>344</v>
      </c>
      <c r="C8" s="122">
        <f>Áreas!F29</f>
        <v>1079.8399999999999</v>
      </c>
      <c r="D8" s="122">
        <v>0</v>
      </c>
      <c r="E8" s="122">
        <v>0</v>
      </c>
      <c r="F8" s="188">
        <f>SUM(C8:E8)</f>
        <v>1079.8399999999999</v>
      </c>
    </row>
    <row r="9" spans="2:8" ht="15.95" customHeight="1" thickBot="1">
      <c r="B9" s="124"/>
      <c r="C9" s="125">
        <v>0</v>
      </c>
      <c r="D9" s="125">
        <v>0</v>
      </c>
      <c r="E9" s="125">
        <v>0</v>
      </c>
      <c r="F9" s="126">
        <f>SUM(C9:E9)</f>
        <v>0</v>
      </c>
    </row>
    <row r="10" spans="2:8" ht="15.95" customHeight="1">
      <c r="C10" s="127"/>
      <c r="D10"/>
      <c r="E10" s="127"/>
      <c r="F10" s="127"/>
      <c r="G10" s="127"/>
      <c r="H10" s="127"/>
    </row>
    <row r="11" spans="2:8" ht="15.95" customHeight="1">
      <c r="B11" s="128" t="s">
        <v>345</v>
      </c>
      <c r="C11" s="129"/>
      <c r="D11" s="130"/>
      <c r="E11" s="130"/>
      <c r="F11" s="131"/>
      <c r="G11" s="132"/>
      <c r="H11" s="133"/>
    </row>
    <row r="12" spans="2:8" ht="15.95" customHeight="1">
      <c r="B12" s="134" t="s">
        <v>383</v>
      </c>
      <c r="C12" s="116"/>
      <c r="D12" s="133"/>
      <c r="E12" s="133"/>
      <c r="F12" s="135"/>
      <c r="G12" s="136"/>
      <c r="H12" s="133"/>
    </row>
    <row r="13" spans="2:8" ht="15.95" customHeight="1">
      <c r="B13" s="137"/>
      <c r="C13" s="138"/>
      <c r="D13" s="138"/>
      <c r="E13" s="138"/>
      <c r="F13" s="139"/>
      <c r="G13" s="132"/>
      <c r="H13" s="133"/>
    </row>
    <row r="14" spans="2:8" ht="15.95" customHeight="1">
      <c r="B14" s="140" t="s">
        <v>346</v>
      </c>
      <c r="D14" s="127"/>
      <c r="E14" s="127"/>
      <c r="F14" s="127"/>
      <c r="G14" s="127"/>
      <c r="H14" s="127"/>
    </row>
    <row r="15" spans="2:8" ht="15.95" customHeight="1">
      <c r="B15" s="141" t="s">
        <v>347</v>
      </c>
      <c r="C15" s="122" t="str">
        <f>ASG!H109</f>
        <v>VALOR TOTAL (MENSAL)</v>
      </c>
      <c r="D15" s="127"/>
      <c r="E15"/>
      <c r="F15" s="127"/>
      <c r="G15" s="127"/>
      <c r="H15"/>
    </row>
    <row r="16" spans="2:8" ht="15.95" customHeight="1">
      <c r="B16" s="141"/>
      <c r="C16" s="122"/>
      <c r="D16" s="127"/>
      <c r="E16"/>
      <c r="F16" s="127"/>
      <c r="G16" s="127"/>
      <c r="H16"/>
    </row>
    <row r="17" spans="2:8" ht="15.95" customHeight="1">
      <c r="B17" s="141" t="s">
        <v>348</v>
      </c>
      <c r="C17" s="122">
        <f>Encarregado!H111</f>
        <v>2352.0770926999612</v>
      </c>
      <c r="D17"/>
      <c r="E17" s="127"/>
      <c r="F17" s="127"/>
      <c r="G17" s="127"/>
      <c r="H17" s="127"/>
    </row>
    <row r="18" spans="2:8" ht="15.95" customHeight="1">
      <c r="B18" s="140" t="s">
        <v>349</v>
      </c>
      <c r="D18" s="127"/>
      <c r="E18" s="127"/>
      <c r="F18" s="127"/>
      <c r="G18" s="127"/>
      <c r="H18"/>
    </row>
    <row r="19" spans="2:8" ht="15.75" customHeight="1" thickBot="1">
      <c r="B19" s="114" t="s">
        <v>350</v>
      </c>
      <c r="C19" s="127"/>
      <c r="D19"/>
      <c r="E19" s="127"/>
      <c r="F19" s="127"/>
      <c r="G19" s="127"/>
      <c r="H19" s="127"/>
    </row>
    <row r="20" spans="2:8" ht="28.5" customHeight="1" thickBot="1">
      <c r="B20" s="143" t="s">
        <v>351</v>
      </c>
      <c r="C20" s="144" t="s">
        <v>352</v>
      </c>
      <c r="D20" s="144" t="s">
        <v>353</v>
      </c>
      <c r="E20" s="144" t="s">
        <v>354</v>
      </c>
      <c r="F20" s="127"/>
      <c r="G20" s="127"/>
      <c r="H20" s="127"/>
    </row>
    <row r="21" spans="2:8" s="142" customFormat="1" ht="15.95" customHeight="1">
      <c r="B21" s="145" t="s">
        <v>355</v>
      </c>
      <c r="C21" s="146"/>
      <c r="D21" s="146"/>
      <c r="E21" s="147"/>
      <c r="F21" s="127"/>
      <c r="G21" s="127"/>
      <c r="H21" s="127"/>
    </row>
    <row r="22" spans="2:8" s="142" customFormat="1" ht="15.95" customHeight="1">
      <c r="B22" s="148" t="s">
        <v>356</v>
      </c>
      <c r="C22" s="149">
        <f>1/600</f>
        <v>1.6666666666666668E-3</v>
      </c>
      <c r="D22" s="150" t="str">
        <f>C15</f>
        <v>VALOR TOTAL (MENSAL)</v>
      </c>
      <c r="E22" s="189" t="e">
        <f>+D22*C22</f>
        <v>#VALUE!</v>
      </c>
      <c r="F22" s="127"/>
      <c r="G22" s="127"/>
      <c r="H22" s="127"/>
    </row>
    <row r="23" spans="2:8" s="142" customFormat="1" ht="16.5" customHeight="1">
      <c r="B23" s="148" t="s">
        <v>348</v>
      </c>
      <c r="C23" s="151">
        <f>1/(600*30)</f>
        <v>5.5555555555555558E-5</v>
      </c>
      <c r="D23" s="150">
        <f>C17</f>
        <v>2352.0770926999612</v>
      </c>
      <c r="E23" s="189">
        <f>+D23*C23</f>
        <v>0.13067094959444231</v>
      </c>
      <c r="F23" s="127"/>
      <c r="G23" s="127"/>
      <c r="H23" s="127"/>
    </row>
    <row r="24" spans="2:8" s="142" customFormat="1" ht="15.95" customHeight="1" thickBot="1">
      <c r="B24" s="152"/>
      <c r="C24" s="663" t="s">
        <v>357</v>
      </c>
      <c r="D24" s="663"/>
      <c r="E24" s="190" t="e">
        <f>E23+E22</f>
        <v>#VALUE!</v>
      </c>
      <c r="F24" s="127"/>
      <c r="G24" s="127"/>
      <c r="H24" s="127"/>
    </row>
    <row r="25" spans="2:8" s="142" customFormat="1" ht="15.95" customHeight="1">
      <c r="B25" s="145" t="s">
        <v>358</v>
      </c>
      <c r="C25" s="146"/>
      <c r="D25" s="146"/>
      <c r="E25" s="191"/>
      <c r="F25" s="127"/>
      <c r="G25" s="127"/>
      <c r="H25" s="127"/>
    </row>
    <row r="26" spans="2:8" s="142" customFormat="1" ht="15.95" customHeight="1">
      <c r="B26" s="148" t="s">
        <v>356</v>
      </c>
      <c r="C26" s="153">
        <f>1/1200</f>
        <v>8.3333333333333339E-4</v>
      </c>
      <c r="D26" s="154" t="str">
        <f>D22</f>
        <v>VALOR TOTAL (MENSAL)</v>
      </c>
      <c r="E26" s="192" t="e">
        <f>+D26*C26</f>
        <v>#VALUE!</v>
      </c>
      <c r="F26" s="127"/>
      <c r="G26" s="127"/>
      <c r="H26" s="127"/>
    </row>
    <row r="27" spans="2:8" s="155" customFormat="1" ht="15.95" customHeight="1">
      <c r="B27" s="148" t="s">
        <v>348</v>
      </c>
      <c r="C27" s="153">
        <f>1/(1200*30)</f>
        <v>2.7777777777777779E-5</v>
      </c>
      <c r="D27" s="154">
        <f>+C17</f>
        <v>2352.0770926999612</v>
      </c>
      <c r="E27" s="192">
        <f>+D27*C27</f>
        <v>6.5335474797221155E-2</v>
      </c>
      <c r="F27" s="127"/>
      <c r="G27" s="127"/>
      <c r="H27" s="127"/>
    </row>
    <row r="28" spans="2:8" s="155" customFormat="1" ht="15.95" customHeight="1" thickBot="1">
      <c r="B28" s="152"/>
      <c r="C28" s="663" t="s">
        <v>359</v>
      </c>
      <c r="D28" s="663"/>
      <c r="E28" s="190" t="e">
        <f>E27+E26</f>
        <v>#VALUE!</v>
      </c>
      <c r="F28" s="127"/>
      <c r="G28" s="127"/>
      <c r="H28" s="127"/>
    </row>
    <row r="29" spans="2:8" s="142" customFormat="1" ht="15.95" customHeight="1" thickBot="1">
      <c r="B29"/>
      <c r="C29" s="127"/>
      <c r="D29"/>
      <c r="E29" s="127"/>
      <c r="F29"/>
      <c r="G29" s="127"/>
      <c r="H29" s="127"/>
    </row>
    <row r="30" spans="2:8" s="142" customFormat="1" ht="18" customHeight="1" thickBot="1">
      <c r="B30" s="665" t="s">
        <v>351</v>
      </c>
      <c r="C30" s="665" t="s">
        <v>409</v>
      </c>
      <c r="D30" s="665" t="s">
        <v>408</v>
      </c>
      <c r="E30" s="665" t="s">
        <v>410</v>
      </c>
      <c r="F30" s="665" t="s">
        <v>411</v>
      </c>
      <c r="G30" s="665" t="s">
        <v>412</v>
      </c>
      <c r="H30" s="665" t="s">
        <v>413</v>
      </c>
    </row>
    <row r="31" spans="2:8" s="142" customFormat="1" ht="24" customHeight="1" thickBot="1">
      <c r="B31" s="665"/>
      <c r="C31" s="665"/>
      <c r="D31" s="665"/>
      <c r="E31" s="665"/>
      <c r="F31" s="665"/>
      <c r="G31" s="665"/>
      <c r="H31" s="665"/>
    </row>
    <row r="32" spans="2:8" s="142" customFormat="1" ht="15.95" customHeight="1">
      <c r="B32" s="141" t="s">
        <v>360</v>
      </c>
      <c r="C32" s="156"/>
      <c r="D32" s="156"/>
      <c r="E32" s="156"/>
      <c r="F32" s="156"/>
      <c r="G32" s="156"/>
      <c r="H32" s="156"/>
    </row>
    <row r="33" spans="1:253" s="142" customFormat="1" ht="15.95" customHeight="1">
      <c r="A33" s="157"/>
      <c r="B33" s="158" t="s">
        <v>356</v>
      </c>
      <c r="C33" s="153">
        <f>1/220</f>
        <v>4.5454545454545452E-3</v>
      </c>
      <c r="D33" s="159">
        <v>16</v>
      </c>
      <c r="E33" s="153">
        <f>1/191.4</f>
        <v>5.2246603970741903E-3</v>
      </c>
      <c r="F33" s="160">
        <f>+C33*E33*D33</f>
        <v>3.7997530160539561E-4</v>
      </c>
      <c r="G33" s="154" t="str">
        <f>+D26</f>
        <v>VALOR TOTAL (MENSAL)</v>
      </c>
      <c r="H33" s="192" t="e">
        <f>+G33*F33</f>
        <v>#VALUE!</v>
      </c>
    </row>
    <row r="34" spans="1:253" s="142" customFormat="1" ht="15.95" customHeight="1">
      <c r="A34" s="157"/>
      <c r="B34" s="158" t="s">
        <v>348</v>
      </c>
      <c r="C34" s="153">
        <f>1/(220*30)</f>
        <v>1.5151515151515152E-4</v>
      </c>
      <c r="D34" s="159">
        <v>16</v>
      </c>
      <c r="E34" s="153">
        <f>1/191.4</f>
        <v>5.2246603970741903E-3</v>
      </c>
      <c r="F34" s="161">
        <f>+C34*E34*D34</f>
        <v>1.2665843386846523E-5</v>
      </c>
      <c r="G34" s="154">
        <f>+D27</f>
        <v>2352.0770926999612</v>
      </c>
      <c r="H34" s="192">
        <f>+G34*F34</f>
        <v>2.9791040089926998E-2</v>
      </c>
    </row>
    <row r="35" spans="1:253" s="142" customFormat="1" ht="15.95" customHeight="1">
      <c r="A35" s="157"/>
      <c r="B35" s="162"/>
      <c r="C35" s="163"/>
      <c r="D35" s="163"/>
      <c r="E35" s="163"/>
      <c r="F35" s="163"/>
      <c r="G35" s="164" t="s">
        <v>361</v>
      </c>
      <c r="H35" s="193" t="e">
        <f>H34+H33</f>
        <v>#VALUE!</v>
      </c>
    </row>
    <row r="36" spans="1:253" s="142" customFormat="1" ht="15.95" customHeight="1">
      <c r="A36" s="157"/>
      <c r="B36" s="162"/>
      <c r="C36" s="163"/>
      <c r="D36" s="163"/>
      <c r="E36" s="163"/>
      <c r="F36" s="163"/>
      <c r="G36" s="164"/>
      <c r="H36" s="192"/>
    </row>
    <row r="37" spans="1:253" s="142" customFormat="1" ht="15.95" customHeight="1">
      <c r="A37" s="157"/>
      <c r="B37" s="141" t="s">
        <v>362</v>
      </c>
      <c r="C37" s="156"/>
      <c r="D37" s="165"/>
      <c r="E37" s="156"/>
      <c r="F37" s="156"/>
      <c r="G37" s="156"/>
      <c r="H37" s="192"/>
    </row>
    <row r="38" spans="1:253" s="142" customFormat="1" ht="15.95" customHeight="1">
      <c r="B38" s="158" t="s">
        <v>348</v>
      </c>
      <c r="C38" s="153">
        <f>1/(110*4)</f>
        <v>2.2727272727272726E-3</v>
      </c>
      <c r="D38" s="159">
        <v>8</v>
      </c>
      <c r="E38" s="153">
        <f>1/(6*191.4)</f>
        <v>8.7077673284569827E-4</v>
      </c>
      <c r="F38" s="161">
        <f>+C38*E38*D38</f>
        <v>1.5832304233558149E-5</v>
      </c>
      <c r="G38" s="154">
        <f>C17</f>
        <v>2352.0770926999612</v>
      </c>
      <c r="H38" s="192">
        <f>+G38*F38</f>
        <v>3.7238800112408738E-2</v>
      </c>
    </row>
    <row r="39" spans="1:253" s="142" customFormat="1" ht="15.95" customHeight="1">
      <c r="B39" s="163"/>
      <c r="C39" s="163"/>
      <c r="D39" s="163"/>
      <c r="E39" s="163"/>
      <c r="F39" s="163"/>
      <c r="G39" s="164" t="s">
        <v>363</v>
      </c>
      <c r="H39" s="193">
        <f>H38</f>
        <v>3.7238800112408738E-2</v>
      </c>
      <c r="IL39" s="166"/>
      <c r="IM39" s="166"/>
      <c r="IN39" s="166"/>
      <c r="IO39" s="166"/>
      <c r="IP39" s="166"/>
      <c r="IQ39" s="166"/>
      <c r="IR39" s="166"/>
      <c r="IS39" s="166"/>
    </row>
    <row r="40" spans="1:253" s="142" customFormat="1" ht="15.95" customHeight="1">
      <c r="B40" s="127"/>
      <c r="C40" s="127"/>
      <c r="D40" s="127"/>
      <c r="E40" s="127"/>
      <c r="F40" s="127"/>
      <c r="G40" s="127"/>
      <c r="H40" s="127"/>
      <c r="IL40" s="166"/>
      <c r="IM40" s="166"/>
      <c r="IN40" s="166"/>
      <c r="IO40" s="166"/>
      <c r="IP40" s="166"/>
      <c r="IQ40" s="166"/>
      <c r="IR40" s="166"/>
      <c r="IS40" s="166"/>
    </row>
    <row r="41" spans="1:253" s="142" customFormat="1" ht="15.95" customHeight="1" thickBot="1">
      <c r="B41" s="140" t="s">
        <v>384</v>
      </c>
      <c r="C41"/>
      <c r="D41"/>
      <c r="E41"/>
      <c r="F41" s="127"/>
      <c r="G41" s="127"/>
      <c r="H41" s="127"/>
      <c r="IL41" s="166"/>
      <c r="IM41" s="166"/>
      <c r="IN41" s="166"/>
      <c r="IO41" s="166"/>
      <c r="IP41" s="166"/>
      <c r="IQ41" s="166"/>
      <c r="IR41" s="166"/>
      <c r="IS41" s="166"/>
    </row>
    <row r="42" spans="1:253" s="142" customFormat="1" ht="15.95" customHeight="1" thickBot="1">
      <c r="B42" s="667" t="s">
        <v>351</v>
      </c>
      <c r="C42" s="668" t="s">
        <v>364</v>
      </c>
      <c r="D42" s="667" t="s">
        <v>365</v>
      </c>
      <c r="E42" s="668" t="s">
        <v>366</v>
      </c>
      <c r="F42" s="127"/>
      <c r="G42" s="127"/>
      <c r="H42" s="127"/>
    </row>
    <row r="43" spans="1:253" s="142" customFormat="1" ht="15.95" customHeight="1" thickBot="1">
      <c r="B43" s="667"/>
      <c r="C43" s="668"/>
      <c r="D43" s="667"/>
      <c r="E43" s="668"/>
      <c r="F43" s="127"/>
      <c r="G43" s="127"/>
      <c r="H43" s="127"/>
    </row>
    <row r="44" spans="1:253" s="142" customFormat="1" ht="15.95" customHeight="1">
      <c r="A44" s="167" t="s">
        <v>335</v>
      </c>
      <c r="B44" s="168" t="s">
        <v>355</v>
      </c>
      <c r="C44" s="169" t="e">
        <f>+E24</f>
        <v>#VALUE!</v>
      </c>
      <c r="D44" s="170">
        <f>+F5</f>
        <v>7394.14</v>
      </c>
      <c r="E44" s="185" t="e">
        <f>+D44*C44</f>
        <v>#VALUE!</v>
      </c>
      <c r="F44" s="127"/>
      <c r="G44" s="127"/>
      <c r="H44" s="127"/>
    </row>
    <row r="45" spans="1:253" s="142" customFormat="1" ht="15.95" customHeight="1">
      <c r="A45" s="167" t="s">
        <v>367</v>
      </c>
      <c r="B45" s="141" t="s">
        <v>358</v>
      </c>
      <c r="C45" s="169" t="e">
        <f>+E28</f>
        <v>#VALUE!</v>
      </c>
      <c r="D45" s="170">
        <f>+F6</f>
        <v>7541.380000000001</v>
      </c>
      <c r="E45" s="185" t="e">
        <f>+D45*C45</f>
        <v>#VALUE!</v>
      </c>
      <c r="F45" s="127"/>
      <c r="G45" s="127"/>
      <c r="H45" s="127"/>
    </row>
    <row r="46" spans="1:253" s="142" customFormat="1" ht="15.95" customHeight="1">
      <c r="A46" s="155"/>
      <c r="B46" s="141" t="s">
        <v>360</v>
      </c>
      <c r="C46" s="169" t="e">
        <f>+H35</f>
        <v>#VALUE!</v>
      </c>
      <c r="D46" s="170">
        <f>+F7</f>
        <v>0</v>
      </c>
      <c r="E46" s="185" t="e">
        <f>+D46*C46</f>
        <v>#VALUE!</v>
      </c>
      <c r="F46" s="171"/>
      <c r="G46" s="127"/>
      <c r="H46" s="127"/>
    </row>
    <row r="47" spans="1:253" s="142" customFormat="1" ht="15.95" customHeight="1">
      <c r="B47" s="141" t="s">
        <v>362</v>
      </c>
      <c r="C47" s="169">
        <f>+H39</f>
        <v>3.7238800112408738E-2</v>
      </c>
      <c r="D47" s="170">
        <f>+F8</f>
        <v>1079.8399999999999</v>
      </c>
      <c r="E47" s="185">
        <f>+D47*C47</f>
        <v>40.211945913383445</v>
      </c>
      <c r="F47" s="127"/>
      <c r="G47" s="127"/>
      <c r="H47" s="127"/>
    </row>
    <row r="48" spans="1:253" s="142" customFormat="1" ht="15.95" customHeight="1">
      <c r="B48" s="666" t="s">
        <v>368</v>
      </c>
      <c r="C48" s="666"/>
      <c r="D48" s="666"/>
      <c r="E48" s="172" t="e">
        <f>SUM(E44:E47)</f>
        <v>#VALUE!</v>
      </c>
      <c r="F48" s="127"/>
      <c r="G48" s="127"/>
      <c r="H48" s="127"/>
    </row>
    <row r="49" spans="1:8" s="142" customFormat="1" ht="15.95" customHeight="1">
      <c r="B49" s="666" t="s">
        <v>369</v>
      </c>
      <c r="C49" s="666"/>
      <c r="D49" s="666"/>
      <c r="E49" s="172" t="e">
        <f>E48*12</f>
        <v>#VALUE!</v>
      </c>
      <c r="F49" s="127"/>
      <c r="G49" s="127"/>
      <c r="H49" s="133"/>
    </row>
    <row r="50" spans="1:8" s="142" customFormat="1" ht="15">
      <c r="B50" s="128" t="s">
        <v>370</v>
      </c>
      <c r="C50" s="130"/>
      <c r="D50" s="130"/>
      <c r="E50" s="130"/>
      <c r="F50" s="130"/>
      <c r="G50" s="173"/>
      <c r="H50" s="133"/>
    </row>
    <row r="51" spans="1:8" s="174" customFormat="1" ht="15.95" customHeight="1">
      <c r="A51" s="175"/>
      <c r="B51" s="176" t="s">
        <v>371</v>
      </c>
      <c r="C51" s="1"/>
      <c r="D51" s="1"/>
      <c r="E51" s="177"/>
      <c r="F51" s="177"/>
      <c r="G51" s="178"/>
      <c r="H51" s="133"/>
    </row>
    <row r="52" spans="1:8" s="175" customFormat="1" ht="15.95" customHeight="1">
      <c r="A52" s="179"/>
      <c r="B52" s="180" t="s">
        <v>372</v>
      </c>
      <c r="C52" s="177"/>
      <c r="D52" s="177"/>
      <c r="E52" s="177"/>
      <c r="F52" s="177"/>
      <c r="G52" s="178"/>
      <c r="H52" s="133"/>
    </row>
    <row r="53" spans="1:8" s="175" customFormat="1" ht="15.95" customHeight="1">
      <c r="A53" s="179"/>
      <c r="B53" s="181" t="s">
        <v>373</v>
      </c>
      <c r="C53" s="177"/>
      <c r="D53" s="177"/>
      <c r="E53" s="177"/>
      <c r="F53" s="177"/>
      <c r="G53" s="178"/>
      <c r="H53" s="133"/>
    </row>
    <row r="54" spans="1:8" s="175" customFormat="1" ht="15.95" customHeight="1">
      <c r="A54" s="179"/>
      <c r="B54" s="180" t="s">
        <v>374</v>
      </c>
      <c r="C54" s="177"/>
      <c r="D54" s="177"/>
      <c r="E54" s="177"/>
      <c r="F54" s="177"/>
      <c r="G54" s="178"/>
      <c r="H54" s="133"/>
    </row>
    <row r="55" spans="1:8" s="175" customFormat="1" ht="15.95" customHeight="1">
      <c r="A55" s="179"/>
      <c r="B55" s="181" t="s">
        <v>375</v>
      </c>
      <c r="C55" s="177"/>
      <c r="D55" s="177"/>
      <c r="E55" s="177"/>
      <c r="F55" s="133"/>
      <c r="G55" s="135"/>
      <c r="H55" s="133"/>
    </row>
    <row r="56" spans="1:8" s="142" customFormat="1" ht="15.95" customHeight="1">
      <c r="A56" s="177"/>
      <c r="B56" s="182" t="s">
        <v>376</v>
      </c>
      <c r="C56" s="183"/>
      <c r="D56" s="183"/>
      <c r="E56" s="183"/>
      <c r="F56" s="183"/>
      <c r="G56" s="184"/>
      <c r="H56" s="133"/>
    </row>
    <row r="57" spans="1:8" s="142" customFormat="1" ht="15.95" customHeight="1">
      <c r="A57" s="177"/>
      <c r="H57" s="177"/>
    </row>
    <row r="58" spans="1:8" s="142" customFormat="1" ht="15.95" customHeight="1">
      <c r="A58" s="177"/>
      <c r="B58" s="175"/>
      <c r="C58" s="175"/>
      <c r="D58" s="175"/>
      <c r="E58" s="175"/>
      <c r="F58" s="175"/>
    </row>
    <row r="59" spans="1:8" s="175" customFormat="1" ht="15.95" customHeight="1">
      <c r="A59" s="179"/>
      <c r="B59" s="142"/>
      <c r="C59" s="142"/>
      <c r="D59" s="142"/>
      <c r="E59" s="142"/>
      <c r="F59" s="142"/>
    </row>
    <row r="60" spans="1:8" s="142" customFormat="1" ht="15.95" customHeight="1">
      <c r="A60" s="177"/>
    </row>
    <row r="61" spans="1:8" s="142" customFormat="1" ht="15.95" customHeight="1">
      <c r="A61" s="177"/>
      <c r="C61" s="174"/>
      <c r="D61" s="174"/>
      <c r="E61" s="174"/>
      <c r="F61" s="174"/>
    </row>
    <row r="62" spans="1:8" s="174" customFormat="1" ht="15.95" customHeight="1">
      <c r="B62" s="142"/>
    </row>
    <row r="63" spans="1:8" s="174" customFormat="1" ht="15.95" customHeight="1">
      <c r="B63" s="142"/>
      <c r="C63" s="142"/>
      <c r="D63" s="142"/>
      <c r="E63" s="142"/>
      <c r="F63" s="142"/>
    </row>
    <row r="64" spans="1:8" s="142" customFormat="1" ht="15.95" customHeight="1">
      <c r="A64" s="177"/>
    </row>
    <row r="65" spans="1:6" s="142" customFormat="1" ht="15.95" customHeight="1">
      <c r="A65" s="177"/>
    </row>
    <row r="66" spans="1:6" s="142" customFormat="1" ht="15.95" customHeight="1">
      <c r="B66" s="114"/>
      <c r="C66" s="114"/>
      <c r="D66" s="114"/>
      <c r="E66" s="114"/>
      <c r="F66" s="114"/>
    </row>
    <row r="70" spans="1:6" ht="13.35" customHeight="1"/>
    <row r="90" ht="12.95" customHeight="1"/>
    <row r="91" ht="12" customHeight="1"/>
    <row r="102" ht="12" customHeight="1"/>
    <row r="103" ht="12" customHeight="1"/>
    <row r="114" ht="13.5" customHeight="1"/>
    <row r="161" ht="12" customHeight="1"/>
    <row r="162" ht="12" customHeight="1"/>
  </sheetData>
  <mergeCells count="16">
    <mergeCell ref="B48:D48"/>
    <mergeCell ref="B49:D49"/>
    <mergeCell ref="G30:G31"/>
    <mergeCell ref="H30:H31"/>
    <mergeCell ref="B42:B43"/>
    <mergeCell ref="C42:C43"/>
    <mergeCell ref="D42:D43"/>
    <mergeCell ref="E42:E43"/>
    <mergeCell ref="F30:F31"/>
    <mergeCell ref="C24:D24"/>
    <mergeCell ref="C28:D28"/>
    <mergeCell ref="B2:F2"/>
    <mergeCell ref="B30:B31"/>
    <mergeCell ref="C30:C31"/>
    <mergeCell ref="D30:D31"/>
    <mergeCell ref="E30:E31"/>
  </mergeCells>
  <dataValidations disablePrompts="1" count="1">
    <dataValidation type="custom" allowBlank="1" showErrorMessage="1" errorTitle="Erro" error="Não é permitido escrever nesta célula" sqref="IV76 SR76 ACN76 AMJ76 AWF76 BGB76 BPX76 BZT76 CJP76 CTL76 DDH76 DND76 DWZ76 EGV76 EQR76 FAN76 FKJ76 FUF76 GEB76 GNX76 GXT76 HHP76 HRL76 IBH76 ILD76 IUZ76 JEV76 JOR76 JYN76 KIJ76 KSF76 LCB76 LLX76 LVT76 MFP76 MPL76 MZH76 NJD76 NSZ76 OCV76 OMR76 OWN76 PGJ76 PQF76 QAB76 QJX76 QTT76 RDP76 RNL76 RXH76 SHD76 SQZ76 TAV76 TKR76 TUN76 UEJ76 UOF76 UYB76 VHX76 VRT76 WBP76 WLL76 WVH76 IV65612 SR65612 ACN65612 AMJ65612 AWF65612 BGB65612 BPX65612 BZT65612 CJP65612 CTL65612 DDH65612 DND65612 DWZ65612 EGV65612 EQR65612 FAN65612 FKJ65612 FUF65612 GEB65612 GNX65612 GXT65612 HHP65612 HRL65612 IBH65612 ILD65612 IUZ65612 JEV65612 JOR65612 JYN65612 KIJ65612 KSF65612 LCB65612 LLX65612 LVT65612 MFP65612 MPL65612 MZH65612 NJD65612 NSZ65612 OCV65612 OMR65612 OWN65612 PGJ65612 PQF65612 QAB65612 QJX65612 QTT65612 RDP65612 RNL65612 RXH65612 SHD65612 SQZ65612 TAV65612 TKR65612 TUN65612 UEJ65612 UOF65612 UYB65612 VHX65612 VRT65612 WBP65612 WLL65612 WVH65612 IV131148 SR131148 ACN131148 AMJ131148 AWF131148 BGB131148 BPX131148 BZT131148 CJP131148 CTL131148 DDH131148 DND131148 DWZ131148 EGV131148 EQR131148 FAN131148 FKJ131148 FUF131148 GEB131148 GNX131148 GXT131148 HHP131148 HRL131148 IBH131148 ILD131148 IUZ131148 JEV131148 JOR131148 JYN131148 KIJ131148 KSF131148 LCB131148 LLX131148 LVT131148 MFP131148 MPL131148 MZH131148 NJD131148 NSZ131148 OCV131148 OMR131148 OWN131148 PGJ131148 PQF131148 QAB131148 QJX131148 QTT131148 RDP131148 RNL131148 RXH131148 SHD131148 SQZ131148 TAV131148 TKR131148 TUN131148 UEJ131148 UOF131148 UYB131148 VHX131148 VRT131148 WBP131148 WLL131148 WVH131148 IV196684 SR196684 ACN196684 AMJ196684 AWF196684 BGB196684 BPX196684 BZT196684 CJP196684 CTL196684 DDH196684 DND196684 DWZ196684 EGV196684 EQR196684 FAN196684 FKJ196684 FUF196684 GEB196684 GNX196684 GXT196684 HHP196684 HRL196684 IBH196684 ILD196684 IUZ196684 JEV196684 JOR196684 JYN196684 KIJ196684 KSF196684 LCB196684 LLX196684 LVT196684 MFP196684 MPL196684 MZH196684 NJD196684 NSZ196684 OCV196684 OMR196684 OWN196684 PGJ196684 PQF196684 QAB196684 QJX196684 QTT196684 RDP196684 RNL196684 RXH196684 SHD196684 SQZ196684 TAV196684 TKR196684 TUN196684 UEJ196684 UOF196684 UYB196684 VHX196684 VRT196684 WBP196684 WLL196684 WVH196684 IV262220 SR262220 ACN262220 AMJ262220 AWF262220 BGB262220 BPX262220 BZT262220 CJP262220 CTL262220 DDH262220 DND262220 DWZ262220 EGV262220 EQR262220 FAN262220 FKJ262220 FUF262220 GEB262220 GNX262220 GXT262220 HHP262220 HRL262220 IBH262220 ILD262220 IUZ262220 JEV262220 JOR262220 JYN262220 KIJ262220 KSF262220 LCB262220 LLX262220 LVT262220 MFP262220 MPL262220 MZH262220 NJD262220 NSZ262220 OCV262220 OMR262220 OWN262220 PGJ262220 PQF262220 QAB262220 QJX262220 QTT262220 RDP262220 RNL262220 RXH262220 SHD262220 SQZ262220 TAV262220 TKR262220 TUN262220 UEJ262220 UOF262220 UYB262220 VHX262220 VRT262220 WBP262220 WLL262220 WVH262220 IV327756 SR327756 ACN327756 AMJ327756 AWF327756 BGB327756 BPX327756 BZT327756 CJP327756 CTL327756 DDH327756 DND327756 DWZ327756 EGV327756 EQR327756 FAN327756 FKJ327756 FUF327756 GEB327756 GNX327756 GXT327756 HHP327756 HRL327756 IBH327756 ILD327756 IUZ327756 JEV327756 JOR327756 JYN327756 KIJ327756 KSF327756 LCB327756 LLX327756 LVT327756 MFP327756 MPL327756 MZH327756 NJD327756 NSZ327756 OCV327756 OMR327756 OWN327756 PGJ327756 PQF327756 QAB327756 QJX327756 QTT327756 RDP327756 RNL327756 RXH327756 SHD327756 SQZ327756 TAV327756 TKR327756 TUN327756 UEJ327756 UOF327756 UYB327756 VHX327756 VRT327756 WBP327756 WLL327756 WVH327756 IV393292 SR393292 ACN393292 AMJ393292 AWF393292 BGB393292 BPX393292 BZT393292 CJP393292 CTL393292 DDH393292 DND393292 DWZ393292 EGV393292 EQR393292 FAN393292 FKJ393292 FUF393292 GEB393292 GNX393292 GXT393292 HHP393292 HRL393292 IBH393292 ILD393292 IUZ393292 JEV393292 JOR393292 JYN393292 KIJ393292 KSF393292 LCB393292 LLX393292 LVT393292 MFP393292 MPL393292 MZH393292 NJD393292 NSZ393292 OCV393292 OMR393292 OWN393292 PGJ393292 PQF393292 QAB393292 QJX393292 QTT393292 RDP393292 RNL393292 RXH393292 SHD393292 SQZ393292 TAV393292 TKR393292 TUN393292 UEJ393292 UOF393292 UYB393292 VHX393292 VRT393292 WBP393292 WLL393292 WVH393292 IV458828 SR458828 ACN458828 AMJ458828 AWF458828 BGB458828 BPX458828 BZT458828 CJP458828 CTL458828 DDH458828 DND458828 DWZ458828 EGV458828 EQR458828 FAN458828 FKJ458828 FUF458828 GEB458828 GNX458828 GXT458828 HHP458828 HRL458828 IBH458828 ILD458828 IUZ458828 JEV458828 JOR458828 JYN458828 KIJ458828 KSF458828 LCB458828 LLX458828 LVT458828 MFP458828 MPL458828 MZH458828 NJD458828 NSZ458828 OCV458828 OMR458828 OWN458828 PGJ458828 PQF458828 QAB458828 QJX458828 QTT458828 RDP458828 RNL458828 RXH458828 SHD458828 SQZ458828 TAV458828 TKR458828 TUN458828 UEJ458828 UOF458828 UYB458828 VHX458828 VRT458828 WBP458828 WLL458828 WVH458828 IV524364 SR524364 ACN524364 AMJ524364 AWF524364 BGB524364 BPX524364 BZT524364 CJP524364 CTL524364 DDH524364 DND524364 DWZ524364 EGV524364 EQR524364 FAN524364 FKJ524364 FUF524364 GEB524364 GNX524364 GXT524364 HHP524364 HRL524364 IBH524364 ILD524364 IUZ524364 JEV524364 JOR524364 JYN524364 KIJ524364 KSF524364 LCB524364 LLX524364 LVT524364 MFP524364 MPL524364 MZH524364 NJD524364 NSZ524364 OCV524364 OMR524364 OWN524364 PGJ524364 PQF524364 QAB524364 QJX524364 QTT524364 RDP524364 RNL524364 RXH524364 SHD524364 SQZ524364 TAV524364 TKR524364 TUN524364 UEJ524364 UOF524364 UYB524364 VHX524364 VRT524364 WBP524364 WLL524364 WVH524364 IV589900 SR589900 ACN589900 AMJ589900 AWF589900 BGB589900 BPX589900 BZT589900 CJP589900 CTL589900 DDH589900 DND589900 DWZ589900 EGV589900 EQR589900 FAN589900 FKJ589900 FUF589900 GEB589900 GNX589900 GXT589900 HHP589900 HRL589900 IBH589900 ILD589900 IUZ589900 JEV589900 JOR589900 JYN589900 KIJ589900 KSF589900 LCB589900 LLX589900 LVT589900 MFP589900 MPL589900 MZH589900 NJD589900 NSZ589900 OCV589900 OMR589900 OWN589900 PGJ589900 PQF589900 QAB589900 QJX589900 QTT589900 RDP589900 RNL589900 RXH589900 SHD589900 SQZ589900 TAV589900 TKR589900 TUN589900 UEJ589900 UOF589900 UYB589900 VHX589900 VRT589900 WBP589900 WLL589900 WVH589900 IV655436 SR655436 ACN655436 AMJ655436 AWF655436 BGB655436 BPX655436 BZT655436 CJP655436 CTL655436 DDH655436 DND655436 DWZ655436 EGV655436 EQR655436 FAN655436 FKJ655436 FUF655436 GEB655436 GNX655436 GXT655436 HHP655436 HRL655436 IBH655436 ILD655436 IUZ655436 JEV655436 JOR655436 JYN655436 KIJ655436 KSF655436 LCB655436 LLX655436 LVT655436 MFP655436 MPL655436 MZH655436 NJD655436 NSZ655436 OCV655436 OMR655436 OWN655436 PGJ655436 PQF655436 QAB655436 QJX655436 QTT655436 RDP655436 RNL655436 RXH655436 SHD655436 SQZ655436 TAV655436 TKR655436 TUN655436 UEJ655436 UOF655436 UYB655436 VHX655436 VRT655436 WBP655436 WLL655436 WVH655436 IV720972 SR720972 ACN720972 AMJ720972 AWF720972 BGB720972 BPX720972 BZT720972 CJP720972 CTL720972 DDH720972 DND720972 DWZ720972 EGV720972 EQR720972 FAN720972 FKJ720972 FUF720972 GEB720972 GNX720972 GXT720972 HHP720972 HRL720972 IBH720972 ILD720972 IUZ720972 JEV720972 JOR720972 JYN720972 KIJ720972 KSF720972 LCB720972 LLX720972 LVT720972 MFP720972 MPL720972 MZH720972 NJD720972 NSZ720972 OCV720972 OMR720972 OWN720972 PGJ720972 PQF720972 QAB720972 QJX720972 QTT720972 RDP720972 RNL720972 RXH720972 SHD720972 SQZ720972 TAV720972 TKR720972 TUN720972 UEJ720972 UOF720972 UYB720972 VHX720972 VRT720972 WBP720972 WLL720972 WVH720972 IV786508 SR786508 ACN786508 AMJ786508 AWF786508 BGB786508 BPX786508 BZT786508 CJP786508 CTL786508 DDH786508 DND786508 DWZ786508 EGV786508 EQR786508 FAN786508 FKJ786508 FUF786508 GEB786508 GNX786508 GXT786508 HHP786508 HRL786508 IBH786508 ILD786508 IUZ786508 JEV786508 JOR786508 JYN786508 KIJ786508 KSF786508 LCB786508 LLX786508 LVT786508 MFP786508 MPL786508 MZH786508 NJD786508 NSZ786508 OCV786508 OMR786508 OWN786508 PGJ786508 PQF786508 QAB786508 QJX786508 QTT786508 RDP786508 RNL786508 RXH786508 SHD786508 SQZ786508 TAV786508 TKR786508 TUN786508 UEJ786508 UOF786508 UYB786508 VHX786508 VRT786508 WBP786508 WLL786508 WVH786508 IV852044 SR852044 ACN852044 AMJ852044 AWF852044 BGB852044 BPX852044 BZT852044 CJP852044 CTL852044 DDH852044 DND852044 DWZ852044 EGV852044 EQR852044 FAN852044 FKJ852044 FUF852044 GEB852044 GNX852044 GXT852044 HHP852044 HRL852044 IBH852044 ILD852044 IUZ852044 JEV852044 JOR852044 JYN852044 KIJ852044 KSF852044 LCB852044 LLX852044 LVT852044 MFP852044 MPL852044 MZH852044 NJD852044 NSZ852044 OCV852044 OMR852044 OWN852044 PGJ852044 PQF852044 QAB852044 QJX852044 QTT852044 RDP852044 RNL852044 RXH852044 SHD852044 SQZ852044 TAV852044 TKR852044 TUN852044 UEJ852044 UOF852044 UYB852044 VHX852044 VRT852044 WBP852044 WLL852044 WVH852044 IV917580 SR917580 ACN917580 AMJ917580 AWF917580 BGB917580 BPX917580 BZT917580 CJP917580 CTL917580 DDH917580 DND917580 DWZ917580 EGV917580 EQR917580 FAN917580 FKJ917580 FUF917580 GEB917580 GNX917580 GXT917580 HHP917580 HRL917580 IBH917580 ILD917580 IUZ917580 JEV917580 JOR917580 JYN917580 KIJ917580 KSF917580 LCB917580 LLX917580 LVT917580 MFP917580 MPL917580 MZH917580 NJD917580 NSZ917580 OCV917580 OMR917580 OWN917580 PGJ917580 PQF917580 QAB917580 QJX917580 QTT917580 RDP917580 RNL917580 RXH917580 SHD917580 SQZ917580 TAV917580 TKR917580 TUN917580 UEJ917580 UOF917580 UYB917580 VHX917580 VRT917580 WBP917580 WLL917580 WVH917580 IV983116 SR983116 ACN983116 AMJ983116 AWF983116 BGB983116 BPX983116 BZT983116 CJP983116 CTL983116 DDH983116 DND983116 DWZ983116 EGV983116 EQR983116 FAN983116 FKJ983116 FUF983116 GEB983116 GNX983116 GXT983116 HHP983116 HRL983116 IBH983116 ILD983116 IUZ983116 JEV983116 JOR983116 JYN983116 KIJ983116 KSF983116 LCB983116 LLX983116 LVT983116 MFP983116 MPL983116 MZH983116 NJD983116 NSZ983116 OCV983116 OMR983116 OWN983116 PGJ983116 PQF983116 QAB983116 QJX983116 QTT983116 RDP983116 RNL983116 RXH983116 SHD983116 SQZ983116 TAV983116 TKR983116 TUN983116 UEJ983116 UOF983116 UYB983116 VHX983116 VRT983116 WBP983116 WLL983116 WVH983116">
      <formula1>"&lt;""""&gt; "</formula1>
      <formula2>0</formula2>
    </dataValidation>
  </dataValidations>
  <pageMargins left="0.25" right="0.25" top="0.75" bottom="0.75" header="0.3" footer="0.3"/>
  <pageSetup paperSize="9" scale="66"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8</vt:i4>
      </vt:variant>
    </vt:vector>
  </HeadingPairs>
  <TitlesOfParts>
    <vt:vector size="24" baseType="lpstr">
      <vt:lpstr>Resumo</vt:lpstr>
      <vt:lpstr>Encarregado</vt:lpstr>
      <vt:lpstr>ASG</vt:lpstr>
      <vt:lpstr>Copeira</vt:lpstr>
      <vt:lpstr>Consumo</vt:lpstr>
      <vt:lpstr>Utensílios</vt:lpstr>
      <vt:lpstr>Equipamentos</vt:lpstr>
      <vt:lpstr>Áreas</vt:lpstr>
      <vt:lpstr>Produtividade</vt:lpstr>
      <vt:lpstr>LS</vt:lpstr>
      <vt:lpstr>BDI</vt:lpstr>
      <vt:lpstr>Avaliação</vt:lpstr>
      <vt:lpstr>Metodologia de Avaliação</vt:lpstr>
      <vt:lpstr>Descontos</vt:lpstr>
      <vt:lpstr>Plan1</vt:lpstr>
      <vt:lpstr>Plan2</vt:lpstr>
      <vt:lpstr>Áreas!Area_de_impressao</vt:lpstr>
      <vt:lpstr>ASG!Area_de_impressao</vt:lpstr>
      <vt:lpstr>Avaliação!Area_de_impressao</vt:lpstr>
      <vt:lpstr>Consumo!Area_de_impressao</vt:lpstr>
      <vt:lpstr>Copeira!Area_de_impressao</vt:lpstr>
      <vt:lpstr>Encarregado!Area_de_impressao</vt:lpstr>
      <vt:lpstr>'Metodologia de Avaliação'!Area_de_impressao</vt:lpstr>
      <vt:lpstr>Produtividade!Area_de_impressao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Fonseca</dc:creator>
  <cp:lastModifiedBy>Francisco Fonseca</cp:lastModifiedBy>
  <cp:lastPrinted>2018-12-17T19:00:35Z</cp:lastPrinted>
  <dcterms:created xsi:type="dcterms:W3CDTF">2018-06-25T18:19:24Z</dcterms:created>
  <dcterms:modified xsi:type="dcterms:W3CDTF">2018-12-17T19:00:51Z</dcterms:modified>
</cp:coreProperties>
</file>